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tzy\Documents\SVO\proyectos inmobiliarios\actuales\Pixka\proyectos pixka\lamat\"/>
    </mc:Choice>
  </mc:AlternateContent>
  <bookViews>
    <workbookView xWindow="12945" yWindow="5955" windowWidth="8160" windowHeight="5670" tabRatio="602" activeTab="1"/>
  </bookViews>
  <sheets>
    <sheet name="principal" sheetId="1" r:id="rId1"/>
    <sheet name="factibilidad" sheetId="3" r:id="rId2"/>
    <sheet name="obra " sheetId="9" r:id="rId3"/>
    <sheet name="ventas" sheetId="8" r:id="rId4"/>
    <sheet name="terreno" sheetId="10" r:id="rId5"/>
    <sheet name="resumen" sheetId="4" r:id="rId6"/>
  </sheets>
  <externalReferences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CS49" i="3" l="1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C29" i="3"/>
  <c r="B29" i="3"/>
  <c r="CM12" i="3"/>
  <c r="CU21" i="3"/>
  <c r="M18" i="3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BM18" i="3" s="1"/>
  <c r="BN18" i="3" s="1"/>
  <c r="BO18" i="3" s="1"/>
  <c r="BP18" i="3" s="1"/>
  <c r="BQ18" i="3" s="1"/>
  <c r="BR18" i="3" s="1"/>
  <c r="BS18" i="3" s="1"/>
  <c r="BT18" i="3" s="1"/>
  <c r="BU18" i="3" s="1"/>
  <c r="BV18" i="3" s="1"/>
  <c r="BW18" i="3" s="1"/>
  <c r="BX18" i="3" s="1"/>
  <c r="BY18" i="3" s="1"/>
  <c r="BZ18" i="3" s="1"/>
  <c r="CA18" i="3" s="1"/>
  <c r="CB18" i="3" s="1"/>
  <c r="CC18" i="3" s="1"/>
  <c r="CD18" i="3" s="1"/>
  <c r="CE18" i="3" s="1"/>
  <c r="CF18" i="3" s="1"/>
  <c r="CG18" i="3" s="1"/>
  <c r="CH18" i="3" s="1"/>
  <c r="CI18" i="3" s="1"/>
  <c r="CJ18" i="3" s="1"/>
  <c r="CK18" i="3" s="1"/>
  <c r="CL18" i="3" s="1"/>
  <c r="CM18" i="3" s="1"/>
  <c r="CN18" i="3" s="1"/>
  <c r="CO18" i="3" s="1"/>
  <c r="CP18" i="3" s="1"/>
  <c r="CQ18" i="3" s="1"/>
  <c r="L10" i="3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CG10" i="3" s="1"/>
  <c r="CH10" i="3" s="1"/>
  <c r="CI10" i="3" s="1"/>
  <c r="CJ10" i="3" s="1"/>
  <c r="CK10" i="3" s="1"/>
  <c r="CL10" i="3" s="1"/>
  <c r="CM10" i="3" s="1"/>
  <c r="CN10" i="3" s="1"/>
  <c r="CO10" i="3" s="1"/>
  <c r="CP10" i="3" s="1"/>
  <c r="F30" i="1"/>
  <c r="L20" i="3" s="1"/>
  <c r="CU20" i="3" s="1"/>
  <c r="N11" i="3"/>
  <c r="O11" i="3" s="1"/>
  <c r="B17" i="3"/>
  <c r="C25" i="1"/>
  <c r="B25" i="1"/>
  <c r="D25" i="1" s="1"/>
  <c r="E26" i="1" s="1"/>
  <c r="B8" i="1"/>
  <c r="G8" i="1" s="1"/>
  <c r="G7" i="1"/>
  <c r="B7" i="1"/>
  <c r="N29" i="3" l="1"/>
  <c r="P11" i="3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CG11" i="3" s="1"/>
  <c r="CH11" i="3" s="1"/>
  <c r="CI11" i="3" s="1"/>
  <c r="CJ11" i="3" s="1"/>
  <c r="CK11" i="3" s="1"/>
  <c r="CL11" i="3" s="1"/>
  <c r="CM11" i="3" s="1"/>
  <c r="CN11" i="3" s="1"/>
  <c r="CO11" i="3" s="1"/>
  <c r="CP11" i="3" s="1"/>
  <c r="CQ11" i="3" s="1"/>
  <c r="CS11" i="3" l="1"/>
  <c r="D50" i="9" l="1"/>
  <c r="E8" i="8" l="1"/>
  <c r="E9" i="8"/>
  <c r="D8" i="8"/>
  <c r="E46" i="9"/>
  <c r="E42" i="9"/>
  <c r="E41" i="9"/>
  <c r="C41" i="9"/>
  <c r="E40" i="9"/>
  <c r="G40" i="9" s="1"/>
  <c r="E39" i="9"/>
  <c r="G39" i="9" s="1"/>
  <c r="E38" i="9"/>
  <c r="E37" i="9"/>
  <c r="E36" i="9"/>
  <c r="E35" i="9"/>
  <c r="E34" i="9"/>
  <c r="E47" i="9" s="1"/>
  <c r="E33" i="9"/>
  <c r="I19" i="9"/>
  <c r="I18" i="9"/>
  <c r="I17" i="9"/>
  <c r="I16" i="9"/>
  <c r="I15" i="9"/>
  <c r="H13" i="9"/>
  <c r="F13" i="9"/>
  <c r="I12" i="9"/>
  <c r="G12" i="9"/>
  <c r="G11" i="9"/>
  <c r="I11" i="9" s="1"/>
  <c r="E10" i="9"/>
  <c r="E13" i="9" s="1"/>
  <c r="C8" i="8" l="1"/>
  <c r="C9" i="8"/>
  <c r="G38" i="9"/>
  <c r="G37" i="9"/>
  <c r="G34" i="9"/>
  <c r="G33" i="9"/>
  <c r="G41" i="9"/>
  <c r="G35" i="9"/>
  <c r="G42" i="9"/>
  <c r="G36" i="9"/>
  <c r="I10" i="9"/>
  <c r="I13" i="9" s="1"/>
  <c r="G47" i="9" l="1"/>
  <c r="J35" i="3" l="1"/>
  <c r="C53" i="3"/>
  <c r="S48" i="3"/>
  <c r="T48" i="3" s="1"/>
  <c r="E7" i="10"/>
  <c r="G7" i="10" s="1"/>
  <c r="I7" i="10" s="1"/>
  <c r="I6" i="10"/>
  <c r="I8" i="10" s="1"/>
  <c r="G6" i="10"/>
  <c r="G8" i="10" s="1"/>
  <c r="E6" i="10"/>
  <c r="E8" i="10" s="1"/>
  <c r="C6" i="10"/>
  <c r="D9" i="8"/>
  <c r="J6" i="10" l="1"/>
  <c r="U48" i="3"/>
  <c r="X24" i="3"/>
  <c r="C8" i="10"/>
  <c r="J8" i="10" s="1"/>
  <c r="Y24" i="3" l="1"/>
  <c r="W48" i="3" l="1"/>
  <c r="Z24" i="3"/>
  <c r="AA24" i="3" l="1"/>
  <c r="Y48" i="3" l="1"/>
  <c r="AB24" i="3"/>
  <c r="Z48" i="3" l="1"/>
  <c r="AC24" i="3"/>
  <c r="AA48" i="3" l="1"/>
  <c r="AD24" i="3"/>
  <c r="AB48" i="3" l="1"/>
  <c r="AE24" i="3"/>
  <c r="AC48" i="3" l="1"/>
  <c r="AF24" i="3"/>
  <c r="AD48" i="3" l="1"/>
  <c r="AG24" i="3"/>
  <c r="AE48" i="3" l="1"/>
  <c r="AH24" i="3"/>
  <c r="AF48" i="3" l="1"/>
  <c r="AI24" i="3"/>
  <c r="AG48" i="3" l="1"/>
  <c r="AJ24" i="3"/>
  <c r="AH48" i="3" l="1"/>
  <c r="AK24" i="3"/>
  <c r="AL24" i="3" l="1"/>
  <c r="AJ48" i="3" l="1"/>
  <c r="AM24" i="3"/>
  <c r="AK48" i="3" l="1"/>
  <c r="AN24" i="3"/>
  <c r="AL48" i="3" l="1"/>
  <c r="AO24" i="3"/>
  <c r="AM48" i="3" l="1"/>
  <c r="AP24" i="3"/>
  <c r="AN48" i="3" l="1"/>
  <c r="AQ24" i="3"/>
  <c r="AO48" i="3" l="1"/>
  <c r="AR24" i="3"/>
  <c r="AS24" i="3" l="1"/>
  <c r="AQ48" i="3" l="1"/>
  <c r="AT24" i="3"/>
  <c r="AR48" i="3" l="1"/>
  <c r="AU24" i="3"/>
  <c r="AS48" i="3" l="1"/>
  <c r="AV24" i="3"/>
  <c r="AW24" i="3" l="1"/>
  <c r="AU48" i="3" l="1"/>
  <c r="AX24" i="3"/>
  <c r="AY24" i="3" l="1"/>
  <c r="AW48" i="3" l="1"/>
  <c r="AZ24" i="3"/>
  <c r="AX48" i="3" l="1"/>
  <c r="BA24" i="3"/>
  <c r="AY48" i="3" l="1"/>
  <c r="BB24" i="3"/>
  <c r="AZ48" i="3" l="1"/>
  <c r="BC24" i="3"/>
  <c r="BA48" i="3" l="1"/>
  <c r="BD24" i="3"/>
  <c r="BB48" i="3" l="1"/>
  <c r="BE24" i="3"/>
  <c r="BC48" i="3" l="1"/>
  <c r="BF24" i="3"/>
  <c r="BD48" i="3" l="1"/>
  <c r="BG24" i="3"/>
  <c r="BE48" i="3" l="1"/>
  <c r="BH24" i="3"/>
  <c r="BF48" i="3" l="1"/>
  <c r="BI24" i="3"/>
  <c r="BG48" i="3" l="1"/>
  <c r="BJ24" i="3"/>
  <c r="BH48" i="3" l="1"/>
  <c r="BK24" i="3"/>
  <c r="BI48" i="3" l="1"/>
  <c r="BL24" i="3"/>
  <c r="BJ48" i="3" l="1"/>
  <c r="BM24" i="3"/>
  <c r="BK48" i="3" l="1"/>
  <c r="BN24" i="3"/>
  <c r="BL48" i="3" l="1"/>
  <c r="BO24" i="3"/>
  <c r="BM48" i="3" l="1"/>
  <c r="BP24" i="3"/>
  <c r="BQ24" i="3" l="1"/>
  <c r="BO48" i="3" l="1"/>
  <c r="BR24" i="3"/>
  <c r="BP48" i="3" l="1"/>
  <c r="BS24" i="3"/>
  <c r="BQ48" i="3" l="1"/>
  <c r="BT24" i="3"/>
  <c r="BR48" i="3" l="1"/>
  <c r="BU24" i="3"/>
  <c r="BS48" i="3" l="1"/>
  <c r="BV24" i="3"/>
  <c r="BT48" i="3" l="1"/>
  <c r="BW24" i="3"/>
  <c r="BU48" i="3" l="1"/>
  <c r="BX24" i="3"/>
  <c r="BV48" i="3" l="1"/>
  <c r="BY24" i="3"/>
  <c r="BW48" i="3" l="1"/>
  <c r="BZ24" i="3"/>
  <c r="BX48" i="3" l="1"/>
  <c r="CA24" i="3"/>
  <c r="CB24" i="3" l="1"/>
  <c r="BZ48" i="3" l="1"/>
  <c r="CC24" i="3"/>
  <c r="CA48" i="3" l="1"/>
  <c r="CD24" i="3"/>
  <c r="CB48" i="3" l="1"/>
  <c r="CE24" i="3"/>
  <c r="CC48" i="3" l="1"/>
  <c r="CF24" i="3"/>
  <c r="CG24" i="3" l="1"/>
  <c r="CE48" i="3" l="1"/>
  <c r="CH24" i="3"/>
  <c r="CF48" i="3" l="1"/>
  <c r="CI24" i="3"/>
  <c r="CG48" i="3" l="1"/>
  <c r="CJ24" i="3"/>
  <c r="CH48" i="3" l="1"/>
  <c r="CI48" i="3" s="1"/>
  <c r="CJ48" i="3" s="1"/>
  <c r="CK48" i="3" s="1"/>
  <c r="CL48" i="3" s="1"/>
  <c r="CM48" i="3" s="1"/>
  <c r="CN48" i="3" s="1"/>
  <c r="CO48" i="3" s="1"/>
  <c r="CP48" i="3" s="1"/>
  <c r="CQ48" i="3" s="1"/>
  <c r="CR48" i="3" s="1"/>
  <c r="CS48" i="3" s="1"/>
  <c r="CK24" i="3"/>
  <c r="CL24" i="3" l="1"/>
  <c r="CM24" i="3" l="1"/>
  <c r="CN24" i="3" l="1"/>
  <c r="CO24" i="3" l="1"/>
  <c r="CP24" i="3" l="1"/>
  <c r="CQ24" i="3" l="1"/>
  <c r="CR24" i="3"/>
  <c r="B35" i="3" l="1"/>
  <c r="B44" i="3"/>
  <c r="CU44" i="3" s="1"/>
  <c r="CU14" i="3"/>
  <c r="CR12" i="3"/>
  <c r="CR22" i="3" s="1"/>
  <c r="CQ12" i="3"/>
  <c r="CQ22" i="3" s="1"/>
  <c r="CP12" i="3"/>
  <c r="CP22" i="3" s="1"/>
  <c r="CO12" i="3"/>
  <c r="CO22" i="3" s="1"/>
  <c r="CN12" i="3"/>
  <c r="CN22" i="3" s="1"/>
  <c r="CM22" i="3"/>
  <c r="CL12" i="3"/>
  <c r="CL22" i="3" s="1"/>
  <c r="CK12" i="3"/>
  <c r="CK22" i="3" s="1"/>
  <c r="CJ12" i="3"/>
  <c r="CJ22" i="3" s="1"/>
  <c r="CI12" i="3"/>
  <c r="CI22" i="3" s="1"/>
  <c r="CH12" i="3"/>
  <c r="CH22" i="3" s="1"/>
  <c r="CG12" i="3"/>
  <c r="CG22" i="3" s="1"/>
  <c r="CF12" i="3"/>
  <c r="CF22" i="3" s="1"/>
  <c r="CE12" i="3"/>
  <c r="CE22" i="3" s="1"/>
  <c r="CD12" i="3"/>
  <c r="CD22" i="3" s="1"/>
  <c r="CC12" i="3"/>
  <c r="CC22" i="3" s="1"/>
  <c r="CB12" i="3"/>
  <c r="CB22" i="3" s="1"/>
  <c r="CA12" i="3"/>
  <c r="CA22" i="3" s="1"/>
  <c r="BZ12" i="3"/>
  <c r="BZ22" i="3" s="1"/>
  <c r="BY12" i="3"/>
  <c r="BY22" i="3" s="1"/>
  <c r="BX12" i="3"/>
  <c r="BX22" i="3" s="1"/>
  <c r="BW12" i="3"/>
  <c r="BW22" i="3" s="1"/>
  <c r="BV12" i="3"/>
  <c r="BV22" i="3" s="1"/>
  <c r="BU12" i="3"/>
  <c r="BU22" i="3" s="1"/>
  <c r="BT12" i="3"/>
  <c r="BT22" i="3" s="1"/>
  <c r="BS12" i="3"/>
  <c r="BS22" i="3" s="1"/>
  <c r="BR12" i="3"/>
  <c r="BR22" i="3" s="1"/>
  <c r="BQ12" i="3"/>
  <c r="BQ22" i="3" s="1"/>
  <c r="BP12" i="3"/>
  <c r="BP22" i="3" s="1"/>
  <c r="BO12" i="3"/>
  <c r="BO22" i="3" s="1"/>
  <c r="BN12" i="3"/>
  <c r="BN22" i="3" s="1"/>
  <c r="BM12" i="3"/>
  <c r="BM22" i="3" s="1"/>
  <c r="BL12" i="3"/>
  <c r="BL22" i="3" s="1"/>
  <c r="BK12" i="3"/>
  <c r="BK22" i="3" s="1"/>
  <c r="BJ12" i="3"/>
  <c r="BJ22" i="3" s="1"/>
  <c r="BI12" i="3"/>
  <c r="BI22" i="3" s="1"/>
  <c r="BH12" i="3"/>
  <c r="BH22" i="3" s="1"/>
  <c r="BG12" i="3"/>
  <c r="BG22" i="3" s="1"/>
  <c r="BF12" i="3"/>
  <c r="BF22" i="3" s="1"/>
  <c r="BE12" i="3"/>
  <c r="BE22" i="3" s="1"/>
  <c r="BD12" i="3"/>
  <c r="BD22" i="3" s="1"/>
  <c r="BC12" i="3"/>
  <c r="BC22" i="3" s="1"/>
  <c r="BB12" i="3"/>
  <c r="BB22" i="3" s="1"/>
  <c r="BA12" i="3"/>
  <c r="BA22" i="3" s="1"/>
  <c r="AZ12" i="3"/>
  <c r="AZ22" i="3" s="1"/>
  <c r="AY12" i="3"/>
  <c r="AY22" i="3" s="1"/>
  <c r="AX12" i="3"/>
  <c r="AX22" i="3" s="1"/>
  <c r="AW12" i="3"/>
  <c r="AW22" i="3" s="1"/>
  <c r="AV12" i="3"/>
  <c r="AV22" i="3" s="1"/>
  <c r="AU12" i="3"/>
  <c r="AU22" i="3" s="1"/>
  <c r="AT12" i="3"/>
  <c r="AT22" i="3" s="1"/>
  <c r="AS12" i="3"/>
  <c r="AS22" i="3" s="1"/>
  <c r="AR12" i="3"/>
  <c r="AR22" i="3" s="1"/>
  <c r="AQ12" i="3"/>
  <c r="AQ22" i="3" s="1"/>
  <c r="AP12" i="3"/>
  <c r="AP22" i="3" s="1"/>
  <c r="AO12" i="3"/>
  <c r="AO22" i="3" s="1"/>
  <c r="AN12" i="3"/>
  <c r="AN22" i="3" s="1"/>
  <c r="AM12" i="3"/>
  <c r="AM22" i="3" s="1"/>
  <c r="AL12" i="3"/>
  <c r="AL22" i="3" s="1"/>
  <c r="AK12" i="3"/>
  <c r="AK22" i="3" s="1"/>
  <c r="AJ12" i="3"/>
  <c r="AJ22" i="3" s="1"/>
  <c r="AI12" i="3"/>
  <c r="AI22" i="3" s="1"/>
  <c r="AH12" i="3"/>
  <c r="AH22" i="3" s="1"/>
  <c r="AG12" i="3"/>
  <c r="AG22" i="3" s="1"/>
  <c r="AF12" i="3"/>
  <c r="AF22" i="3" s="1"/>
  <c r="AE12" i="3"/>
  <c r="AE22" i="3" s="1"/>
  <c r="AD12" i="3"/>
  <c r="AD22" i="3" s="1"/>
  <c r="AC12" i="3"/>
  <c r="AC22" i="3" s="1"/>
  <c r="AB12" i="3"/>
  <c r="AB22" i="3" s="1"/>
  <c r="AA12" i="3"/>
  <c r="AA22" i="3" s="1"/>
  <c r="Z12" i="3"/>
  <c r="Z22" i="3" s="1"/>
  <c r="Y12" i="3"/>
  <c r="Y22" i="3" s="1"/>
  <c r="M12" i="3"/>
  <c r="M22" i="3" s="1"/>
  <c r="L12" i="3"/>
  <c r="L22" i="3" s="1"/>
  <c r="K12" i="3"/>
  <c r="K22" i="3" s="1"/>
  <c r="J12" i="3"/>
  <c r="J22" i="3" s="1"/>
  <c r="G12" i="3"/>
  <c r="G22" i="3" s="1"/>
  <c r="F12" i="3"/>
  <c r="F22" i="3" s="1"/>
  <c r="E12" i="3"/>
  <c r="E22" i="3" s="1"/>
  <c r="D12" i="3"/>
  <c r="D22" i="3" s="1"/>
  <c r="C12" i="3"/>
  <c r="C22" i="3" s="1"/>
  <c r="B12" i="3"/>
  <c r="B22" i="3" s="1"/>
  <c r="CU46" i="3"/>
  <c r="CU26" i="3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O12" i="3"/>
  <c r="O22" i="3" s="1"/>
  <c r="CS18" i="3"/>
  <c r="CS24" i="3" s="1"/>
  <c r="D16" i="1"/>
  <c r="H12" i="3"/>
  <c r="H22" i="3" s="1"/>
  <c r="D24" i="3"/>
  <c r="C24" i="3"/>
  <c r="E24" i="3"/>
  <c r="F24" i="3"/>
  <c r="L24" i="3"/>
  <c r="M24" i="3"/>
  <c r="B24" i="3"/>
  <c r="O24" i="3"/>
  <c r="J24" i="3"/>
  <c r="P24" i="3"/>
  <c r="Q24" i="3"/>
  <c r="R24" i="3"/>
  <c r="S24" i="3"/>
  <c r="T24" i="3"/>
  <c r="U24" i="3"/>
  <c r="V24" i="3"/>
  <c r="W24" i="3"/>
  <c r="G24" i="3"/>
  <c r="H24" i="3"/>
  <c r="I24" i="3"/>
  <c r="K24" i="3"/>
  <c r="N24" i="3"/>
  <c r="B33" i="3"/>
  <c r="B8" i="4"/>
  <c r="E38" i="1"/>
  <c r="E39" i="1"/>
  <c r="CU24" i="3" l="1"/>
  <c r="B23" i="3"/>
  <c r="CU18" i="3"/>
  <c r="CU17" i="3"/>
  <c r="N12" i="3"/>
  <c r="N22" i="3" s="1"/>
  <c r="CU35" i="3"/>
  <c r="E42" i="1" s="1"/>
  <c r="G40" i="1"/>
  <c r="P12" i="3"/>
  <c r="P22" i="3" s="1"/>
  <c r="B34" i="3"/>
  <c r="C33" i="3" s="1"/>
  <c r="M23" i="3" l="1"/>
  <c r="S23" i="3"/>
  <c r="I12" i="3"/>
  <c r="C34" i="3"/>
  <c r="D33" i="3" s="1"/>
  <c r="Q12" i="3"/>
  <c r="Q22" i="3" s="1"/>
  <c r="B31" i="3" l="1"/>
  <c r="C31" i="3" s="1"/>
  <c r="D31" i="3" s="1"/>
  <c r="E31" i="3" s="1"/>
  <c r="F31" i="3" s="1"/>
  <c r="G31" i="3" s="1"/>
  <c r="H31" i="3" s="1"/>
  <c r="CU23" i="3"/>
  <c r="I22" i="3"/>
  <c r="R12" i="3"/>
  <c r="R22" i="3" s="1"/>
  <c r="D34" i="3"/>
  <c r="E33" i="3" s="1"/>
  <c r="B10" i="4" l="1"/>
  <c r="B12" i="4" s="1"/>
  <c r="C8" i="4" s="1"/>
  <c r="E34" i="3"/>
  <c r="F33" i="3" s="1"/>
  <c r="S12" i="3"/>
  <c r="S22" i="3" s="1"/>
  <c r="C10" i="4" l="1"/>
  <c r="I31" i="3"/>
  <c r="J31" i="3" s="1"/>
  <c r="K31" i="3" s="1"/>
  <c r="L31" i="3" s="1"/>
  <c r="M31" i="3" s="1"/>
  <c r="N31" i="3" s="1"/>
  <c r="O31" i="3" s="1"/>
  <c r="P31" i="3" s="1"/>
  <c r="Q31" i="3" s="1"/>
  <c r="R31" i="3" s="1"/>
  <c r="C12" i="4"/>
  <c r="T12" i="3"/>
  <c r="T22" i="3" s="1"/>
  <c r="F34" i="3"/>
  <c r="G33" i="3" s="1"/>
  <c r="S31" i="3" l="1"/>
  <c r="U12" i="3"/>
  <c r="U22" i="3" s="1"/>
  <c r="G34" i="3"/>
  <c r="H33" i="3" s="1"/>
  <c r="T31" i="3" l="1"/>
  <c r="H34" i="3"/>
  <c r="I33" i="3" s="1"/>
  <c r="V12" i="3"/>
  <c r="V22" i="3" s="1"/>
  <c r="U31" i="3" l="1"/>
  <c r="W12" i="3"/>
  <c r="W22" i="3" s="1"/>
  <c r="I34" i="3"/>
  <c r="J33" i="3" s="1"/>
  <c r="V31" i="3" l="1"/>
  <c r="J34" i="3"/>
  <c r="K33" i="3" s="1"/>
  <c r="W31" i="3" l="1"/>
  <c r="X12" i="3"/>
  <c r="K34" i="3"/>
  <c r="L33" i="3" s="1"/>
  <c r="L34" i="3" s="1"/>
  <c r="X22" i="3" l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AT31" i="3" s="1"/>
  <c r="AU31" i="3" s="1"/>
  <c r="AV31" i="3" s="1"/>
  <c r="AW31" i="3" s="1"/>
  <c r="AX31" i="3" s="1"/>
  <c r="AY31" i="3" s="1"/>
  <c r="AZ31" i="3" s="1"/>
  <c r="BA31" i="3" s="1"/>
  <c r="BB31" i="3" s="1"/>
  <c r="BC31" i="3" s="1"/>
  <c r="BD31" i="3" s="1"/>
  <c r="BE31" i="3" s="1"/>
  <c r="BF31" i="3" s="1"/>
  <c r="BG31" i="3" s="1"/>
  <c r="BH31" i="3" s="1"/>
  <c r="BI31" i="3" s="1"/>
  <c r="BJ31" i="3" s="1"/>
  <c r="BK31" i="3" s="1"/>
  <c r="BL31" i="3" s="1"/>
  <c r="BM31" i="3" s="1"/>
  <c r="BN31" i="3" s="1"/>
  <c r="BO31" i="3" s="1"/>
  <c r="BP31" i="3" s="1"/>
  <c r="BQ31" i="3" s="1"/>
  <c r="BR31" i="3" s="1"/>
  <c r="BS31" i="3" s="1"/>
  <c r="BT31" i="3" s="1"/>
  <c r="BU31" i="3" s="1"/>
  <c r="BV31" i="3" s="1"/>
  <c r="BW31" i="3" s="1"/>
  <c r="BX31" i="3" s="1"/>
  <c r="BY31" i="3" s="1"/>
  <c r="BZ31" i="3" s="1"/>
  <c r="CA31" i="3" s="1"/>
  <c r="CB31" i="3" s="1"/>
  <c r="CC31" i="3" s="1"/>
  <c r="CD31" i="3" s="1"/>
  <c r="CE31" i="3" s="1"/>
  <c r="CF31" i="3" s="1"/>
  <c r="CG31" i="3" s="1"/>
  <c r="CH31" i="3" s="1"/>
  <c r="CI31" i="3" s="1"/>
  <c r="CJ31" i="3" s="1"/>
  <c r="CK31" i="3" s="1"/>
  <c r="CL31" i="3" s="1"/>
  <c r="CM31" i="3" s="1"/>
  <c r="CN31" i="3" s="1"/>
  <c r="CO31" i="3" s="1"/>
  <c r="CP31" i="3" s="1"/>
  <c r="CQ31" i="3" s="1"/>
  <c r="CR31" i="3" s="1"/>
  <c r="M33" i="3"/>
  <c r="M34" i="3" l="1"/>
  <c r="N33" i="3" s="1"/>
  <c r="CU41" i="3" l="1"/>
  <c r="N34" i="3"/>
  <c r="O33" i="3" s="1"/>
  <c r="O34" i="3" l="1"/>
  <c r="P33" i="3" s="1"/>
  <c r="P34" i="3" l="1"/>
  <c r="Q33" i="3" s="1"/>
  <c r="Q34" i="3" l="1"/>
  <c r="R33" i="3" s="1"/>
  <c r="R34" i="3" l="1"/>
  <c r="S33" i="3" s="1"/>
  <c r="S34" i="3" l="1"/>
  <c r="T33" i="3" s="1"/>
  <c r="T34" i="3" l="1"/>
  <c r="U33" i="3" s="1"/>
  <c r="U34" i="3" l="1"/>
  <c r="V33" i="3" s="1"/>
  <c r="V34" i="3" l="1"/>
  <c r="W33" i="3" s="1"/>
  <c r="W34" i="3" l="1"/>
  <c r="X33" i="3" s="1"/>
  <c r="X34" i="3" l="1"/>
  <c r="Y33" i="3" s="1"/>
  <c r="Y34" i="3" s="1"/>
  <c r="Z33" i="3" l="1"/>
  <c r="Z34" i="3" l="1"/>
  <c r="AA33" i="3" s="1"/>
  <c r="AA34" i="3" s="1"/>
  <c r="AB33" i="3" s="1"/>
  <c r="AB34" i="3" l="1"/>
  <c r="AC33" i="3" l="1"/>
  <c r="AC34" i="3" l="1"/>
  <c r="AD33" i="3" l="1"/>
  <c r="AD34" i="3" l="1"/>
  <c r="AE33" i="3" l="1"/>
  <c r="AE34" i="3" l="1"/>
  <c r="AF33" i="3" s="1"/>
  <c r="AF34" i="3" l="1"/>
  <c r="AG33" i="3" s="1"/>
  <c r="AG34" i="3" l="1"/>
  <c r="AH33" i="3" s="1"/>
  <c r="AH34" i="3" l="1"/>
  <c r="AI33" i="3" s="1"/>
  <c r="AI34" i="3" l="1"/>
  <c r="AJ33" i="3" s="1"/>
  <c r="AJ34" i="3" l="1"/>
  <c r="AK33" i="3" s="1"/>
  <c r="AK34" i="3" l="1"/>
  <c r="AL33" i="3" s="1"/>
  <c r="AL34" i="3" l="1"/>
  <c r="AM33" i="3" s="1"/>
  <c r="AM34" i="3" l="1"/>
  <c r="AN33" i="3" s="1"/>
  <c r="AN34" i="3" l="1"/>
  <c r="AO33" i="3" s="1"/>
  <c r="AO34" i="3" l="1"/>
  <c r="AP33" i="3" s="1"/>
  <c r="AP34" i="3" l="1"/>
  <c r="AQ33" i="3" s="1"/>
  <c r="AQ34" i="3" l="1"/>
  <c r="AR33" i="3" s="1"/>
  <c r="AR34" i="3" l="1"/>
  <c r="AS33" i="3" s="1"/>
  <c r="AS34" i="3" l="1"/>
  <c r="AT33" i="3" s="1"/>
  <c r="AT34" i="3" l="1"/>
  <c r="AU33" i="3" s="1"/>
  <c r="AU34" i="3" l="1"/>
  <c r="AV33" i="3" s="1"/>
  <c r="AV34" i="3" l="1"/>
  <c r="AW33" i="3" s="1"/>
  <c r="AW34" i="3" l="1"/>
  <c r="AX33" i="3" s="1"/>
  <c r="AX34" i="3" l="1"/>
  <c r="AY33" i="3" s="1"/>
  <c r="AY34" i="3" l="1"/>
  <c r="AZ33" i="3" s="1"/>
  <c r="AZ34" i="3" l="1"/>
  <c r="BA33" i="3" s="1"/>
  <c r="BA34" i="3" l="1"/>
  <c r="BB33" i="3" s="1"/>
  <c r="BB34" i="3" l="1"/>
  <c r="BC33" i="3" s="1"/>
  <c r="BC34" i="3" l="1"/>
  <c r="BD33" i="3" s="1"/>
  <c r="BD34" i="3" l="1"/>
  <c r="BE33" i="3" s="1"/>
  <c r="BE34" i="3" l="1"/>
  <c r="BF33" i="3" s="1"/>
  <c r="BF34" i="3" l="1"/>
  <c r="BG33" i="3" s="1"/>
  <c r="BG34" i="3" l="1"/>
  <c r="BH33" i="3" s="1"/>
  <c r="BH34" i="3" l="1"/>
  <c r="BI33" i="3" s="1"/>
  <c r="BI34" i="3" l="1"/>
  <c r="BJ33" i="3" s="1"/>
  <c r="BJ34" i="3" l="1"/>
  <c r="BK33" i="3" s="1"/>
  <c r="BK34" i="3" l="1"/>
  <c r="BL33" i="3" s="1"/>
  <c r="BL34" i="3" l="1"/>
  <c r="BM33" i="3" s="1"/>
  <c r="BM34" i="3" l="1"/>
  <c r="BN33" i="3" s="1"/>
  <c r="BN34" i="3" l="1"/>
  <c r="BO33" i="3" s="1"/>
  <c r="BO34" i="3" l="1"/>
  <c r="BP33" i="3" s="1"/>
  <c r="BP34" i="3" l="1"/>
  <c r="BQ33" i="3" s="1"/>
  <c r="BQ34" i="3" l="1"/>
  <c r="BR33" i="3" s="1"/>
  <c r="BR34" i="3" l="1"/>
  <c r="BS33" i="3" s="1"/>
  <c r="BS34" i="3" l="1"/>
  <c r="BT33" i="3" s="1"/>
  <c r="BT34" i="3" l="1"/>
  <c r="BU33" i="3" s="1"/>
  <c r="BU34" i="3" l="1"/>
  <c r="BV33" i="3" s="1"/>
  <c r="BV34" i="3" l="1"/>
  <c r="BW33" i="3" s="1"/>
  <c r="BW34" i="3" l="1"/>
  <c r="BX33" i="3" s="1"/>
  <c r="BX34" i="3" l="1"/>
  <c r="BY33" i="3" s="1"/>
  <c r="BY34" i="3" l="1"/>
  <c r="BZ33" i="3" s="1"/>
  <c r="BZ34" i="3" l="1"/>
  <c r="CA33" i="3" s="1"/>
  <c r="CA34" i="3" l="1"/>
  <c r="CB33" i="3" s="1"/>
  <c r="CB34" i="3" l="1"/>
  <c r="CC33" i="3" s="1"/>
  <c r="CC34" i="3" l="1"/>
  <c r="CD33" i="3" s="1"/>
  <c r="CD34" i="3" l="1"/>
  <c r="CE33" i="3" s="1"/>
  <c r="CE34" i="3" l="1"/>
  <c r="CF33" i="3" s="1"/>
  <c r="CF34" i="3" l="1"/>
  <c r="CG33" i="3" s="1"/>
  <c r="CG34" i="3" l="1"/>
  <c r="CH33" i="3" s="1"/>
  <c r="CH34" i="3" l="1"/>
  <c r="CI33" i="3" s="1"/>
  <c r="CI34" i="3" l="1"/>
  <c r="CJ33" i="3" s="1"/>
  <c r="CJ34" i="3" l="1"/>
  <c r="CK33" i="3" s="1"/>
  <c r="CK34" i="3" l="1"/>
  <c r="CL33" i="3" s="1"/>
  <c r="CL34" i="3" l="1"/>
  <c r="CM33" i="3" s="1"/>
  <c r="CM34" i="3" l="1"/>
  <c r="CN33" i="3" s="1"/>
  <c r="CN34" i="3" l="1"/>
  <c r="CO33" i="3" s="1"/>
  <c r="CO34" i="3" l="1"/>
  <c r="CP33" i="3" s="1"/>
  <c r="CP34" i="3" l="1"/>
  <c r="CQ33" i="3" s="1"/>
  <c r="CQ34" i="3" l="1"/>
  <c r="CR33" i="3" s="1"/>
  <c r="CR34" i="3" l="1"/>
  <c r="CS33" i="3" s="1"/>
  <c r="B36" i="3" s="1"/>
  <c r="CU36" i="3" s="1"/>
  <c r="CS34" i="3" l="1"/>
  <c r="CU34" i="3" s="1"/>
  <c r="E43" i="1" s="1"/>
  <c r="CU33" i="3"/>
  <c r="F9" i="8" l="1"/>
  <c r="E8" i="1" l="1"/>
  <c r="F8" i="1" s="1"/>
  <c r="CU11" i="3"/>
  <c r="F8" i="8" l="1"/>
  <c r="F11" i="8" s="1"/>
  <c r="C7" i="1"/>
  <c r="E7" i="1" s="1"/>
  <c r="F7" i="1" s="1"/>
  <c r="G10" i="1" l="1"/>
  <c r="CS10" i="3"/>
  <c r="CU10" i="3" s="1"/>
  <c r="E35" i="1" l="1"/>
  <c r="E46" i="1" s="1"/>
  <c r="E48" i="1" s="1"/>
  <c r="B47" i="3"/>
  <c r="CS12" i="3"/>
  <c r="CS22" i="3" l="1"/>
  <c r="CU22" i="3" s="1"/>
  <c r="CV25" i="3" s="1"/>
  <c r="CS29" i="3"/>
  <c r="D12" i="4"/>
  <c r="D8" i="4" s="1"/>
  <c r="E8" i="4" s="1"/>
  <c r="CU12" i="3"/>
  <c r="CV38" i="3" s="1"/>
  <c r="CK49" i="3" l="1"/>
  <c r="CC49" i="3"/>
  <c r="BU49" i="3"/>
  <c r="BM49" i="3"/>
  <c r="BE49" i="3"/>
  <c r="AW49" i="3"/>
  <c r="AO49" i="3"/>
  <c r="AG49" i="3"/>
  <c r="Y49" i="3"/>
  <c r="Q49" i="3"/>
  <c r="I49" i="3"/>
  <c r="CR49" i="3"/>
  <c r="CJ49" i="3"/>
  <c r="CB49" i="3"/>
  <c r="BT49" i="3"/>
  <c r="BL49" i="3"/>
  <c r="BD49" i="3"/>
  <c r="AV49" i="3"/>
  <c r="AN49" i="3"/>
  <c r="AF49" i="3"/>
  <c r="X49" i="3"/>
  <c r="H49" i="3"/>
  <c r="W49" i="3"/>
  <c r="BR49" i="3"/>
  <c r="AL49" i="3"/>
  <c r="CQ49" i="3"/>
  <c r="CI49" i="3"/>
  <c r="CA49" i="3"/>
  <c r="BS49" i="3"/>
  <c r="BK49" i="3"/>
  <c r="BC49" i="3"/>
  <c r="AU49" i="3"/>
  <c r="O49" i="3"/>
  <c r="BB49" i="3"/>
  <c r="V49" i="3"/>
  <c r="CP49" i="3"/>
  <c r="CH49" i="3"/>
  <c r="F49" i="3"/>
  <c r="CO49" i="3"/>
  <c r="CG49" i="3"/>
  <c r="BY49" i="3"/>
  <c r="BQ49" i="3"/>
  <c r="BI49" i="3"/>
  <c r="BA49" i="3"/>
  <c r="AS49" i="3"/>
  <c r="AK49" i="3"/>
  <c r="AC49" i="3"/>
  <c r="U49" i="3"/>
  <c r="M49" i="3"/>
  <c r="E49" i="3"/>
  <c r="CN49" i="3"/>
  <c r="CF49" i="3"/>
  <c r="BX49" i="3"/>
  <c r="BP49" i="3"/>
  <c r="BH49" i="3"/>
  <c r="AZ49" i="3"/>
  <c r="AR49" i="3"/>
  <c r="AJ49" i="3"/>
  <c r="AB49" i="3"/>
  <c r="T49" i="3"/>
  <c r="L49" i="3"/>
  <c r="D49" i="3"/>
  <c r="BF49" i="3"/>
  <c r="AP49" i="3"/>
  <c r="Z49" i="3"/>
  <c r="J49" i="3"/>
  <c r="P49" i="3"/>
  <c r="AE49" i="3"/>
  <c r="BZ49" i="3"/>
  <c r="BJ49" i="3"/>
  <c r="AD49" i="3"/>
  <c r="CM49" i="3"/>
  <c r="CE49" i="3"/>
  <c r="BW49" i="3"/>
  <c r="BO49" i="3"/>
  <c r="BG49" i="3"/>
  <c r="AY49" i="3"/>
  <c r="AQ49" i="3"/>
  <c r="AI49" i="3"/>
  <c r="AA49" i="3"/>
  <c r="S49" i="3"/>
  <c r="K49" i="3"/>
  <c r="C49" i="3"/>
  <c r="C51" i="3" s="1"/>
  <c r="C54" i="3" s="1"/>
  <c r="D53" i="3" s="1"/>
  <c r="CL49" i="3"/>
  <c r="CD49" i="3"/>
  <c r="BV49" i="3"/>
  <c r="BN49" i="3"/>
  <c r="AX49" i="3"/>
  <c r="AH49" i="3"/>
  <c r="R49" i="3"/>
  <c r="B49" i="3"/>
  <c r="B51" i="3" s="1"/>
  <c r="AM49" i="3"/>
  <c r="G49" i="3"/>
  <c r="AT49" i="3"/>
  <c r="N49" i="3"/>
  <c r="D10" i="4"/>
  <c r="E10" i="4" s="1"/>
  <c r="F10" i="4" s="1"/>
  <c r="E12" i="4"/>
  <c r="E52" i="1"/>
  <c r="D40" i="3"/>
  <c r="B40" i="3"/>
  <c r="B38" i="3"/>
  <c r="CU38" i="3" s="1"/>
  <c r="CS31" i="3"/>
  <c r="B32" i="3" s="1"/>
  <c r="D51" i="3" l="1"/>
  <c r="D54" i="3" s="1"/>
  <c r="E53" i="3" s="1"/>
  <c r="E51" i="3" s="1"/>
  <c r="E54" i="3" s="1"/>
  <c r="F53" i="3" l="1"/>
  <c r="F51" i="3" l="1"/>
  <c r="F54" i="3" s="1"/>
  <c r="G53" i="3" s="1"/>
  <c r="G51" i="3" l="1"/>
  <c r="G54" i="3" s="1"/>
  <c r="H53" i="3" s="1"/>
  <c r="H51" i="3" l="1"/>
  <c r="H54" i="3" s="1"/>
  <c r="I53" i="3" s="1"/>
  <c r="I51" i="3" l="1"/>
  <c r="I54" i="3" s="1"/>
  <c r="J53" i="3" s="1"/>
  <c r="J51" i="3" l="1"/>
  <c r="J54" i="3" s="1"/>
  <c r="K53" i="3" s="1"/>
  <c r="K51" i="3" l="1"/>
  <c r="K54" i="3" s="1"/>
  <c r="L53" i="3" s="1"/>
  <c r="L51" i="3" l="1"/>
  <c r="L54" i="3" s="1"/>
  <c r="M53" i="3" s="1"/>
  <c r="M51" i="3" l="1"/>
  <c r="M54" i="3" s="1"/>
  <c r="N53" i="3" s="1"/>
  <c r="N51" i="3" l="1"/>
  <c r="N54" i="3" s="1"/>
  <c r="O53" i="3" s="1"/>
  <c r="O51" i="3" l="1"/>
  <c r="O54" i="3" s="1"/>
  <c r="P53" i="3" s="1"/>
  <c r="P51" i="3" l="1"/>
  <c r="P54" i="3" s="1"/>
  <c r="Q53" i="3" s="1"/>
  <c r="Q51" i="3" l="1"/>
  <c r="Q54" i="3" s="1"/>
  <c r="R53" i="3" s="1"/>
  <c r="R51" i="3" l="1"/>
  <c r="R54" i="3" l="1"/>
  <c r="S53" i="3" s="1"/>
  <c r="S51" i="3" s="1"/>
  <c r="S54" i="3" s="1"/>
  <c r="T53" i="3" s="1"/>
  <c r="T51" i="3" l="1"/>
  <c r="T54" i="3" s="1"/>
  <c r="U53" i="3" s="1"/>
  <c r="U51" i="3" l="1"/>
  <c r="U54" i="3" s="1"/>
  <c r="V53" i="3" s="1"/>
  <c r="V51" i="3" l="1"/>
  <c r="V54" i="3" s="1"/>
  <c r="W53" i="3" s="1"/>
  <c r="W51" i="3" l="1"/>
  <c r="W54" i="3" s="1"/>
  <c r="X53" i="3" s="1"/>
  <c r="X51" i="3" l="1"/>
  <c r="X54" i="3" s="1"/>
  <c r="Y53" i="3" s="1"/>
  <c r="Y51" i="3" l="1"/>
  <c r="Y54" i="3" s="1"/>
  <c r="Z53" i="3" s="1"/>
  <c r="Z51" i="3" l="1"/>
  <c r="Z54" i="3" s="1"/>
  <c r="AA53" i="3" s="1"/>
  <c r="AA51" i="3" l="1"/>
  <c r="AA54" i="3" s="1"/>
  <c r="AB53" i="3" s="1"/>
  <c r="AB51" i="3" l="1"/>
  <c r="AB54" i="3" s="1"/>
  <c r="AC53" i="3" s="1"/>
  <c r="AC51" i="3" l="1"/>
  <c r="AC54" i="3" s="1"/>
  <c r="AD53" i="3" s="1"/>
  <c r="AD51" i="3" l="1"/>
  <c r="AD54" i="3" s="1"/>
  <c r="AE53" i="3" s="1"/>
  <c r="AE51" i="3" l="1"/>
  <c r="AE54" i="3" s="1"/>
  <c r="AF53" i="3" s="1"/>
  <c r="AF51" i="3" l="1"/>
  <c r="AF54" i="3" s="1"/>
  <c r="AG53" i="3" s="1"/>
  <c r="AG51" i="3" l="1"/>
  <c r="AG54" i="3" s="1"/>
  <c r="AH53" i="3" s="1"/>
  <c r="AH51" i="3" l="1"/>
  <c r="AH54" i="3" s="1"/>
  <c r="AI53" i="3" s="1"/>
  <c r="AI51" i="3" l="1"/>
  <c r="AI54" i="3" s="1"/>
  <c r="AJ53" i="3" s="1"/>
  <c r="AJ51" i="3" l="1"/>
  <c r="AJ54" i="3" s="1"/>
  <c r="AK53" i="3" s="1"/>
  <c r="AK51" i="3" l="1"/>
  <c r="AK54" i="3" s="1"/>
  <c r="AL53" i="3" s="1"/>
  <c r="AL51" i="3" l="1"/>
  <c r="AL54" i="3" s="1"/>
  <c r="AM53" i="3" s="1"/>
  <c r="AM51" i="3" l="1"/>
  <c r="AM54" i="3" s="1"/>
  <c r="AN53" i="3" s="1"/>
  <c r="AN51" i="3" l="1"/>
  <c r="AN54" i="3" s="1"/>
  <c r="AO53" i="3" s="1"/>
  <c r="AO51" i="3" l="1"/>
  <c r="AO54" i="3" s="1"/>
  <c r="AP53" i="3" s="1"/>
  <c r="AP51" i="3" l="1"/>
  <c r="AP54" i="3" s="1"/>
  <c r="AQ53" i="3" s="1"/>
  <c r="AQ51" i="3" l="1"/>
  <c r="AQ54" i="3" s="1"/>
  <c r="AR53" i="3" s="1"/>
  <c r="AR51" i="3" l="1"/>
  <c r="AR54" i="3" s="1"/>
  <c r="AS53" i="3" s="1"/>
  <c r="AS51" i="3" l="1"/>
  <c r="AS54" i="3" s="1"/>
  <c r="AT53" i="3" s="1"/>
  <c r="AT51" i="3" l="1"/>
  <c r="AT54" i="3" s="1"/>
  <c r="AU53" i="3" s="1"/>
  <c r="AU51" i="3" l="1"/>
  <c r="AU54" i="3" s="1"/>
  <c r="AV53" i="3" s="1"/>
  <c r="AV51" i="3" l="1"/>
  <c r="AV54" i="3" s="1"/>
  <c r="AW53" i="3" s="1"/>
  <c r="AW51" i="3" l="1"/>
  <c r="AW54" i="3" s="1"/>
  <c r="AX53" i="3" s="1"/>
  <c r="AX51" i="3" l="1"/>
  <c r="AX54" i="3" s="1"/>
  <c r="AY53" i="3" s="1"/>
  <c r="AY51" i="3" l="1"/>
  <c r="AY54" i="3" s="1"/>
  <c r="AZ53" i="3" s="1"/>
  <c r="AZ51" i="3" l="1"/>
  <c r="AZ54" i="3" s="1"/>
  <c r="BA53" i="3" s="1"/>
  <c r="BA51" i="3" l="1"/>
  <c r="BA54" i="3" s="1"/>
  <c r="BB53" i="3" s="1"/>
  <c r="BB51" i="3" l="1"/>
  <c r="BB54" i="3" s="1"/>
  <c r="BC53" i="3" s="1"/>
  <c r="BC51" i="3" l="1"/>
  <c r="BC54" i="3" s="1"/>
  <c r="BD53" i="3" s="1"/>
  <c r="BD51" i="3" l="1"/>
  <c r="BD54" i="3" s="1"/>
  <c r="BE53" i="3" s="1"/>
  <c r="BE51" i="3" l="1"/>
  <c r="BE54" i="3" s="1"/>
  <c r="BF53" i="3" s="1"/>
  <c r="BF51" i="3" l="1"/>
  <c r="BF54" i="3" s="1"/>
  <c r="BG53" i="3" s="1"/>
  <c r="BG51" i="3" l="1"/>
  <c r="BG54" i="3" s="1"/>
  <c r="BH53" i="3" s="1"/>
  <c r="BH51" i="3" l="1"/>
  <c r="BH54" i="3" s="1"/>
  <c r="BI53" i="3" s="1"/>
  <c r="BI51" i="3" l="1"/>
  <c r="BI54" i="3" s="1"/>
  <c r="BJ53" i="3" s="1"/>
  <c r="BJ51" i="3" l="1"/>
  <c r="BJ54" i="3" s="1"/>
  <c r="BK53" i="3" s="1"/>
  <c r="BK51" i="3" l="1"/>
  <c r="BK54" i="3" s="1"/>
  <c r="BL53" i="3" s="1"/>
  <c r="BL51" i="3" l="1"/>
  <c r="BL54" i="3" s="1"/>
  <c r="BM53" i="3" s="1"/>
  <c r="BM51" i="3" l="1"/>
  <c r="BM54" i="3" s="1"/>
  <c r="BN53" i="3" s="1"/>
  <c r="BN51" i="3" l="1"/>
  <c r="BN54" i="3" s="1"/>
  <c r="BO53" i="3" s="1"/>
  <c r="BO51" i="3" l="1"/>
  <c r="BO54" i="3" s="1"/>
  <c r="BP53" i="3" s="1"/>
  <c r="BP51" i="3" l="1"/>
  <c r="BP54" i="3" s="1"/>
  <c r="BQ53" i="3" s="1"/>
  <c r="BQ51" i="3" l="1"/>
  <c r="BQ54" i="3" s="1"/>
  <c r="BR53" i="3" s="1"/>
  <c r="BR51" i="3" l="1"/>
  <c r="BR54" i="3" s="1"/>
  <c r="BS53" i="3" s="1"/>
  <c r="BS51" i="3" l="1"/>
  <c r="BS54" i="3" s="1"/>
  <c r="BT53" i="3" s="1"/>
  <c r="BT51" i="3" l="1"/>
  <c r="BT54" i="3" s="1"/>
  <c r="BU53" i="3" s="1"/>
  <c r="BU51" i="3" l="1"/>
  <c r="BU54" i="3" s="1"/>
  <c r="BV53" i="3" s="1"/>
  <c r="BV51" i="3" l="1"/>
  <c r="BV54" i="3" s="1"/>
  <c r="BW53" i="3" s="1"/>
  <c r="BW51" i="3" l="1"/>
  <c r="BW54" i="3" s="1"/>
  <c r="BX53" i="3" s="1"/>
  <c r="BX51" i="3" l="1"/>
  <c r="BX54" i="3" s="1"/>
  <c r="BY53" i="3" s="1"/>
  <c r="BY51" i="3" l="1"/>
  <c r="BY54" i="3" s="1"/>
  <c r="BZ53" i="3" s="1"/>
  <c r="BZ51" i="3" l="1"/>
  <c r="BZ54" i="3" s="1"/>
  <c r="CA53" i="3" s="1"/>
  <c r="CA51" i="3" l="1"/>
  <c r="CA54" i="3" s="1"/>
  <c r="CB53" i="3" s="1"/>
  <c r="CB51" i="3" l="1"/>
  <c r="CB54" i="3" s="1"/>
  <c r="CC53" i="3" s="1"/>
  <c r="CC51" i="3" l="1"/>
  <c r="CC54" i="3" s="1"/>
  <c r="CD53" i="3" s="1"/>
  <c r="CD51" i="3" l="1"/>
  <c r="CD54" i="3" s="1"/>
  <c r="CE53" i="3" s="1"/>
  <c r="CE51" i="3" l="1"/>
  <c r="CE54" i="3" s="1"/>
  <c r="CF53" i="3" s="1"/>
  <c r="CF51" i="3" l="1"/>
  <c r="CF54" i="3" s="1"/>
  <c r="CG53" i="3" s="1"/>
  <c r="CG51" i="3" l="1"/>
  <c r="CG54" i="3" s="1"/>
  <c r="CH53" i="3" s="1"/>
  <c r="CH51" i="3" l="1"/>
  <c r="CH54" i="3" s="1"/>
  <c r="CI53" i="3" s="1"/>
  <c r="CI51" i="3" l="1"/>
  <c r="CI54" i="3" s="1"/>
  <c r="CJ53" i="3" s="1"/>
  <c r="CJ51" i="3" l="1"/>
  <c r="CJ54" i="3" s="1"/>
  <c r="CK53" i="3" s="1"/>
  <c r="CK51" i="3" l="1"/>
  <c r="CK54" i="3" s="1"/>
  <c r="CL53" i="3" s="1"/>
  <c r="CL51" i="3" l="1"/>
  <c r="CL54" i="3" s="1"/>
  <c r="CM53" i="3" s="1"/>
  <c r="CM51" i="3" l="1"/>
  <c r="CM54" i="3" s="1"/>
  <c r="CN53" i="3" s="1"/>
  <c r="CN51" i="3" l="1"/>
  <c r="CN54" i="3" s="1"/>
  <c r="CO53" i="3" s="1"/>
  <c r="CO51" i="3" l="1"/>
  <c r="CO54" i="3" s="1"/>
  <c r="CP53" i="3" s="1"/>
  <c r="CP51" i="3" l="1"/>
  <c r="CP54" i="3" s="1"/>
  <c r="CQ53" i="3" s="1"/>
  <c r="CQ51" i="3" l="1"/>
  <c r="CQ54" i="3" s="1"/>
  <c r="CR53" i="3" s="1"/>
  <c r="CR51" i="3" l="1"/>
  <c r="CR54" i="3" s="1"/>
  <c r="CS53" i="3" s="1"/>
  <c r="CS51" i="3" l="1"/>
  <c r="CS54" i="3" l="1"/>
  <c r="CT53" i="3" s="1"/>
</calcChain>
</file>

<file path=xl/comments1.xml><?xml version="1.0" encoding="utf-8"?>
<comments xmlns="http://schemas.openxmlformats.org/spreadsheetml/2006/main">
  <authors>
    <author>Mitzy</author>
    <author>Sergio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Mitzy:</t>
        </r>
        <r>
          <rPr>
            <sz val="9"/>
            <color indexed="81"/>
            <rFont val="Tahoma"/>
            <family val="2"/>
          </rPr>
          <t xml:space="preserve">
se considera 3 secciones iguales </t>
        </r>
      </text>
    </comment>
    <comment ref="B22" authorId="1" shapeId="0">
      <text>
        <r>
          <rPr>
            <b/>
            <sz val="10"/>
            <color indexed="81"/>
            <rFont val="Tahoma"/>
            <family val="2"/>
          </rPr>
          <t>Sergio:</t>
        </r>
        <r>
          <rPr>
            <sz val="10"/>
            <color indexed="81"/>
            <rFont val="Tahoma"/>
            <family val="2"/>
          </rPr>
          <t xml:space="preserve">
H5 30
</t>
        </r>
      </text>
    </comment>
  </commentList>
</comments>
</file>

<file path=xl/sharedStrings.xml><?xml version="1.0" encoding="utf-8"?>
<sst xmlns="http://schemas.openxmlformats.org/spreadsheetml/2006/main" count="163" uniqueCount="146">
  <si>
    <t>Total</t>
  </si>
  <si>
    <t>Costos</t>
  </si>
  <si>
    <t>terreno</t>
  </si>
  <si>
    <t>total</t>
  </si>
  <si>
    <t>utilidad antes de impuestos</t>
  </si>
  <si>
    <t>margen</t>
  </si>
  <si>
    <t>Ventas</t>
  </si>
  <si>
    <t>precio/m2</t>
  </si>
  <si>
    <t>Precio Unitario</t>
  </si>
  <si>
    <t>Concepto</t>
  </si>
  <si>
    <t xml:space="preserve"> valor venta</t>
  </si>
  <si>
    <t>Total costos</t>
  </si>
  <si>
    <t>proyecto</t>
  </si>
  <si>
    <t>utilidad</t>
  </si>
  <si>
    <t>meses de espera a partir de primer venta</t>
  </si>
  <si>
    <t>VALOR PRESENTE NETO                 al:</t>
  </si>
  <si>
    <t>egresos</t>
  </si>
  <si>
    <t>TIR</t>
  </si>
  <si>
    <t>Flujo Efectivo y Análisis Financiero</t>
  </si>
  <si>
    <t>m  e  s</t>
  </si>
  <si>
    <t>administración obra</t>
  </si>
  <si>
    <t xml:space="preserve"> </t>
  </si>
  <si>
    <t>absorción esperada* (ventas/mes)</t>
  </si>
  <si>
    <t>construcción</t>
  </si>
  <si>
    <t>3. Permisos y licencias</t>
  </si>
  <si>
    <t>5. indirectos</t>
  </si>
  <si>
    <t>6. financiamiento</t>
  </si>
  <si>
    <t>comisión</t>
  </si>
  <si>
    <t xml:space="preserve">tasa </t>
  </si>
  <si>
    <t>anual</t>
  </si>
  <si>
    <t>saldo deudor</t>
  </si>
  <si>
    <t>intereses</t>
  </si>
  <si>
    <t>5.1 proyecto</t>
  </si>
  <si>
    <t>3..permisos y licencias</t>
  </si>
  <si>
    <t>ingresos</t>
  </si>
  <si>
    <t>2.endeudamiento</t>
  </si>
  <si>
    <t>deuda máxima</t>
  </si>
  <si>
    <t xml:space="preserve">6.1 pagos deuda </t>
  </si>
  <si>
    <t>4. Ventas y dirección</t>
  </si>
  <si>
    <t>Flujo Financiero</t>
  </si>
  <si>
    <t>Resumen</t>
  </si>
  <si>
    <t>Aportaciones</t>
  </si>
  <si>
    <t>aportación a la firma</t>
  </si>
  <si>
    <t>4. ventas y dirección</t>
  </si>
  <si>
    <t>mensual hipotecaria</t>
  </si>
  <si>
    <t>línea de crédito solicitado</t>
  </si>
  <si>
    <t>6.2 caja</t>
  </si>
  <si>
    <t>del proyecto</t>
  </si>
  <si>
    <t>áreas libres</t>
  </si>
  <si>
    <t>area de donación</t>
  </si>
  <si>
    <t>area  vendible</t>
  </si>
  <si>
    <t>$/m2</t>
  </si>
  <si>
    <t>calles</t>
  </si>
  <si>
    <t>luz</t>
  </si>
  <si>
    <t>agua</t>
  </si>
  <si>
    <t>licencias fraccionamiento</t>
  </si>
  <si>
    <t>5.2 administración</t>
  </si>
  <si>
    <t>Rodríguez</t>
  </si>
  <si>
    <t>Vallejos</t>
  </si>
  <si>
    <t>aportaciones</t>
  </si>
  <si>
    <t>Tasa de Descuento=</t>
  </si>
  <si>
    <t>VPN =</t>
  </si>
  <si>
    <t xml:space="preserve">valor accion </t>
  </si>
  <si>
    <t xml:space="preserve">emisión de acciones </t>
  </si>
  <si>
    <t>torre 4</t>
  </si>
  <si>
    <t xml:space="preserve">casas </t>
  </si>
  <si>
    <t>unidades</t>
  </si>
  <si>
    <t xml:space="preserve">1. ventas </t>
  </si>
  <si>
    <t xml:space="preserve">total </t>
  </si>
  <si>
    <t>2-Construcción</t>
  </si>
  <si>
    <t>1.Terreno</t>
  </si>
  <si>
    <t>2. Construcción</t>
  </si>
  <si>
    <t>1.Inmueble</t>
  </si>
  <si>
    <t xml:space="preserve">mes </t>
  </si>
  <si>
    <t>comisiones</t>
  </si>
  <si>
    <t xml:space="preserve"> e</t>
  </si>
  <si>
    <t xml:space="preserve">usd </t>
  </si>
  <si>
    <t xml:space="preserve">pesos </t>
  </si>
  <si>
    <t>aumento precios</t>
  </si>
  <si>
    <t>m2</t>
  </si>
  <si>
    <t>Concepto/ Año</t>
  </si>
  <si>
    <t>Año 0</t>
  </si>
  <si>
    <t>Año 1</t>
  </si>
  <si>
    <t>Año 2</t>
  </si>
  <si>
    <t>Año 3</t>
  </si>
  <si>
    <t>Año 4</t>
  </si>
  <si>
    <t>Año 5</t>
  </si>
  <si>
    <t>Año 6</t>
  </si>
  <si>
    <t>Metros cuadrados</t>
  </si>
  <si>
    <t>Valor de aportación (Pesos Mexicanos)*</t>
  </si>
  <si>
    <t>Monto de aportación</t>
  </si>
  <si>
    <t>* Incrementos del 10% por concepto de plusvalía en cada aportación.</t>
  </si>
  <si>
    <t xml:space="preserve">precio contrato </t>
  </si>
  <si>
    <t>usd/m2</t>
  </si>
  <si>
    <t>mensual</t>
  </si>
  <si>
    <t>Inversion Acumulada -otros</t>
  </si>
  <si>
    <t>construccion</t>
  </si>
  <si>
    <t>pesos</t>
  </si>
  <si>
    <t>usd</t>
  </si>
  <si>
    <t>COSTOS DE CONSTRUCCION</t>
  </si>
  <si>
    <t>Area construccion m2</t>
  </si>
  <si>
    <t>Costo Directo/m2 construccion</t>
  </si>
  <si>
    <t>IMPORTE TOTAL</t>
  </si>
  <si>
    <t>TIEMPO CONSTRUCCION</t>
  </si>
  <si>
    <t>TORRE TIPO . Area habitable. PRECIO VIVIENDA MULTIFAMILIAR SEMILUJO.</t>
  </si>
  <si>
    <t>Area terrazas</t>
  </si>
  <si>
    <t>Estacionamiento</t>
  </si>
  <si>
    <t>SUBTOTAL TORRE TIPO</t>
  </si>
  <si>
    <t>24 meses.</t>
  </si>
  <si>
    <t>CASAS (18 CASAS). (PRECIO VIVIENDA UNIFAMILAR SEMILUJO)</t>
  </si>
  <si>
    <t>8 meses c/u</t>
  </si>
  <si>
    <t>AREAS COMUNES</t>
  </si>
  <si>
    <t>OTROS (SERVICIOS, ALBERCAS , CANCHAS DE TENIS, CASA CLUB)</t>
  </si>
  <si>
    <t>Fuente .BIMSA-CMCI</t>
  </si>
  <si>
    <t>PRESUPUESTO DE COSTO DIRECTO DE URBANIZACION</t>
  </si>
  <si>
    <t>CONCEPTO</t>
  </si>
  <si>
    <t>M2</t>
  </si>
  <si>
    <t>COSTO *M2</t>
  </si>
  <si>
    <t>TOTAL M2</t>
  </si>
  <si>
    <t>PORCENTAJE</t>
  </si>
  <si>
    <t>Terracerias</t>
  </si>
  <si>
    <t>4 ETAPAS DE 24 MESES CADA UNO</t>
  </si>
  <si>
    <t>Red de agua potable</t>
  </si>
  <si>
    <t xml:space="preserve">Red de alcantarillado sanitario </t>
  </si>
  <si>
    <t>Drenaje pluvial</t>
  </si>
  <si>
    <t>Red eléctrica y alumbrado publico</t>
  </si>
  <si>
    <t>Pavimentos Y Banquetas</t>
  </si>
  <si>
    <t>Condiciones generales (acondicionamiento jardineria, areas verdes, etc.)</t>
  </si>
  <si>
    <t>Estabilizacion de Taludes</t>
  </si>
  <si>
    <t>Excavacion</t>
  </si>
  <si>
    <t>Alimentacion electrica primaria</t>
  </si>
  <si>
    <t>TOTAL</t>
  </si>
  <si>
    <t xml:space="preserve">gran total </t>
  </si>
  <si>
    <t>Fuente .El análisis de urbanización según los registro de la CMIC</t>
  </si>
  <si>
    <t>Inversion Máxima</t>
  </si>
  <si>
    <t>Proyecto: Lamat Air Park</t>
  </si>
  <si>
    <t>taxi aéreo</t>
  </si>
  <si>
    <t>factor fractional</t>
  </si>
  <si>
    <t>acciones</t>
  </si>
  <si>
    <t>taxi</t>
  </si>
  <si>
    <t>pista</t>
  </si>
  <si>
    <t>3.1avion</t>
  </si>
  <si>
    <t>área total (m2)</t>
  </si>
  <si>
    <t>3.1 avión</t>
  </si>
  <si>
    <t>número de acciones inversión</t>
  </si>
  <si>
    <t>acciones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</si>
</sst>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%"/>
    <numFmt numFmtId="166" formatCode="#,##0_ ;\-#,##0\ "/>
    <numFmt numFmtId="167" formatCode="_-* #,##0_-;\-* #,##0_-;_-* &quot;-&quot;??_-;_-@_-"/>
    <numFmt numFmtId="168" formatCode="_-&quot;$&quot;* #,##0_-;\-&quot;$&quot;* #,##0_-;_-&quot;$&quot;* &quot;-&quot;??_-;_-@_-"/>
    <numFmt numFmtId="169" formatCode="_-[$$-80A]* #,##0.00_-;\-[$$-80A]* #,##0.00_-;_-[$$-80A]* &quot;-&quot;??_-;_-@_-"/>
  </numFmts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MT"/>
    </font>
    <font>
      <b/>
      <sz val="12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lightGray">
        <bgColor indexed="41"/>
      </patternFill>
    </fill>
    <fill>
      <patternFill patternType="lightGray">
        <bgColor indexed="42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73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3" fillId="1" borderId="0" xfId="0" applyFont="1" applyFill="1"/>
    <xf numFmtId="0" fontId="3" fillId="1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11" fillId="0" borderId="0" xfId="0" applyFont="1"/>
    <xf numFmtId="0" fontId="13" fillId="2" borderId="0" xfId="0" applyFont="1" applyFill="1"/>
    <xf numFmtId="4" fontId="14" fillId="2" borderId="0" xfId="0" applyNumberFormat="1" applyFont="1" applyFill="1"/>
    <xf numFmtId="0" fontId="14" fillId="2" borderId="0" xfId="0" applyFont="1" applyFill="1"/>
    <xf numFmtId="0" fontId="14" fillId="1" borderId="0" xfId="0" applyFont="1" applyFill="1"/>
    <xf numFmtId="0" fontId="14" fillId="0" borderId="0" xfId="0" applyFont="1"/>
    <xf numFmtId="10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3" fontId="14" fillId="0" borderId="0" xfId="0" applyNumberFormat="1" applyFont="1"/>
    <xf numFmtId="3" fontId="7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6" fillId="2" borderId="0" xfId="0" applyFont="1" applyFill="1"/>
    <xf numFmtId="0" fontId="17" fillId="0" borderId="0" xfId="0" applyFont="1"/>
    <xf numFmtId="3" fontId="18" fillId="0" borderId="0" xfId="0" applyNumberFormat="1" applyFont="1"/>
    <xf numFmtId="3" fontId="19" fillId="0" borderId="0" xfId="0" applyNumberFormat="1" applyFont="1"/>
    <xf numFmtId="3" fontId="18" fillId="3" borderId="0" xfId="0" applyNumberFormat="1" applyFont="1" applyFill="1"/>
    <xf numFmtId="3" fontId="9" fillId="0" borderId="0" xfId="0" applyNumberFormat="1" applyFont="1"/>
    <xf numFmtId="3" fontId="10" fillId="0" borderId="0" xfId="0" applyNumberFormat="1" applyFont="1"/>
    <xf numFmtId="0" fontId="18" fillId="0" borderId="0" xfId="0" applyFont="1"/>
    <xf numFmtId="4" fontId="9" fillId="0" borderId="0" xfId="0" applyNumberFormat="1" applyFont="1"/>
    <xf numFmtId="3" fontId="9" fillId="0" borderId="0" xfId="0" applyNumberFormat="1" applyFont="1" applyFill="1"/>
    <xf numFmtId="3" fontId="9" fillId="4" borderId="0" xfId="0" applyNumberFormat="1" applyFont="1" applyFill="1"/>
    <xf numFmtId="0" fontId="19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3" fontId="20" fillId="4" borderId="0" xfId="0" applyNumberFormat="1" applyFont="1" applyFill="1"/>
    <xf numFmtId="3" fontId="19" fillId="4" borderId="0" xfId="0" applyNumberFormat="1" applyFont="1" applyFill="1"/>
    <xf numFmtId="10" fontId="9" fillId="0" borderId="0" xfId="0" applyNumberFormat="1" applyFont="1"/>
    <xf numFmtId="0" fontId="21" fillId="0" borderId="0" xfId="0" applyFont="1" applyAlignment="1">
      <alignment horizontal="left"/>
    </xf>
    <xf numFmtId="10" fontId="21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3" fontId="9" fillId="4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left"/>
    </xf>
    <xf numFmtId="9" fontId="9" fillId="0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4" fontId="10" fillId="4" borderId="0" xfId="0" applyNumberFormat="1" applyFont="1" applyFill="1" applyAlignment="1">
      <alignment horizontal="center"/>
    </xf>
    <xf numFmtId="10" fontId="1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19" fillId="5" borderId="0" xfId="0" applyFont="1" applyFill="1"/>
    <xf numFmtId="3" fontId="10" fillId="4" borderId="0" xfId="0" applyNumberFormat="1" applyFont="1" applyFill="1"/>
    <xf numFmtId="10" fontId="21" fillId="4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3" fontId="10" fillId="0" borderId="0" xfId="0" applyNumberFormat="1" applyFont="1" applyFill="1"/>
    <xf numFmtId="0" fontId="6" fillId="0" borderId="0" xfId="0" applyFont="1" applyAlignment="1">
      <alignment horizontal="center"/>
    </xf>
    <xf numFmtId="3" fontId="24" fillId="0" borderId="0" xfId="0" applyNumberFormat="1" applyFont="1"/>
    <xf numFmtId="10" fontId="18" fillId="3" borderId="0" xfId="0" applyNumberFormat="1" applyFont="1" applyFill="1"/>
    <xf numFmtId="10" fontId="18" fillId="0" borderId="0" xfId="0" applyNumberFormat="1" applyFont="1"/>
    <xf numFmtId="10" fontId="19" fillId="0" borderId="0" xfId="0" applyNumberFormat="1" applyFont="1"/>
    <xf numFmtId="3" fontId="10" fillId="6" borderId="0" xfId="0" applyNumberFormat="1" applyFont="1" applyFill="1"/>
    <xf numFmtId="3" fontId="9" fillId="7" borderId="0" xfId="0" applyNumberFormat="1" applyFont="1" applyFill="1" applyAlignment="1">
      <alignment horizontal="center"/>
    </xf>
    <xf numFmtId="10" fontId="18" fillId="0" borderId="0" xfId="0" applyNumberFormat="1" applyFont="1" applyFill="1"/>
    <xf numFmtId="0" fontId="6" fillId="0" borderId="0" xfId="0" applyFont="1" applyAlignment="1">
      <alignment horizontal="center"/>
    </xf>
    <xf numFmtId="0" fontId="25" fillId="8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3" fontId="9" fillId="6" borderId="0" xfId="0" applyNumberFormat="1" applyFont="1" applyFill="1"/>
    <xf numFmtId="3" fontId="18" fillId="6" borderId="0" xfId="0" applyNumberFormat="1" applyFont="1" applyFill="1"/>
    <xf numFmtId="3" fontId="20" fillId="0" borderId="0" xfId="0" applyNumberFormat="1" applyFont="1"/>
    <xf numFmtId="0" fontId="19" fillId="5" borderId="0" xfId="0" applyFont="1" applyFill="1" applyAlignment="1">
      <alignment horizontal="right"/>
    </xf>
    <xf numFmtId="3" fontId="18" fillId="0" borderId="0" xfId="0" applyNumberFormat="1" applyFont="1" applyFill="1"/>
    <xf numFmtId="3" fontId="0" fillId="0" borderId="0" xfId="0" applyNumberFormat="1"/>
    <xf numFmtId="3" fontId="3" fillId="10" borderId="0" xfId="0" applyNumberFormat="1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10" fontId="0" fillId="0" borderId="0" xfId="3" applyNumberFormat="1" applyFont="1"/>
    <xf numFmtId="0" fontId="28" fillId="9" borderId="1" xfId="0" applyFont="1" applyFill="1" applyBorder="1"/>
    <xf numFmtId="0" fontId="0" fillId="0" borderId="1" xfId="0" applyBorder="1"/>
    <xf numFmtId="167" fontId="0" fillId="0" borderId="1" xfId="1" applyNumberFormat="1" applyFont="1" applyBorder="1"/>
    <xf numFmtId="168" fontId="0" fillId="0" borderId="1" xfId="2" applyNumberFormat="1" applyFont="1" applyBorder="1"/>
    <xf numFmtId="0" fontId="0" fillId="0" borderId="0" xfId="0" applyAlignment="1">
      <alignment horizontal="right"/>
    </xf>
    <xf numFmtId="0" fontId="3" fillId="0" borderId="1" xfId="0" applyFont="1" applyBorder="1"/>
    <xf numFmtId="168" fontId="3" fillId="0" borderId="1" xfId="0" applyNumberFormat="1" applyFont="1" applyBorder="1"/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0" fontId="19" fillId="11" borderId="0" xfId="0" applyNumberFormat="1" applyFont="1" applyFill="1" applyAlignment="1">
      <alignment horizontal="center"/>
    </xf>
    <xf numFmtId="0" fontId="18" fillId="11" borderId="0" xfId="0" applyFont="1" applyFill="1"/>
    <xf numFmtId="3" fontId="10" fillId="11" borderId="0" xfId="0" applyNumberFormat="1" applyFont="1" applyFill="1" applyAlignment="1">
      <alignment horizontal="center"/>
    </xf>
    <xf numFmtId="3" fontId="4" fillId="0" borderId="0" xfId="0" applyNumberFormat="1" applyFont="1" applyBorder="1" applyAlignment="1" applyProtection="1">
      <alignment horizontal="right"/>
      <protection locked="0"/>
    </xf>
    <xf numFmtId="10" fontId="9" fillId="6" borderId="0" xfId="0" applyNumberFormat="1" applyFont="1" applyFill="1"/>
    <xf numFmtId="0" fontId="14" fillId="12" borderId="0" xfId="0" applyFont="1" applyFill="1"/>
    <xf numFmtId="0" fontId="12" fillId="12" borderId="0" xfId="0" applyFont="1" applyFill="1" applyAlignment="1">
      <alignment horizontal="center"/>
    </xf>
    <xf numFmtId="0" fontId="19" fillId="13" borderId="0" xfId="0" applyFont="1" applyFill="1"/>
    <xf numFmtId="3" fontId="9" fillId="12" borderId="0" xfId="0" applyNumberFormat="1" applyFont="1" applyFill="1"/>
    <xf numFmtId="3" fontId="10" fillId="12" borderId="0" xfId="0" applyNumberFormat="1" applyFont="1" applyFill="1"/>
    <xf numFmtId="0" fontId="9" fillId="12" borderId="0" xfId="0" applyFont="1" applyFill="1"/>
    <xf numFmtId="3" fontId="9" fillId="14" borderId="0" xfId="0" applyNumberFormat="1" applyFont="1" applyFill="1"/>
    <xf numFmtId="164" fontId="9" fillId="12" borderId="0" xfId="0" applyNumberFormat="1" applyFont="1" applyFill="1" applyAlignment="1">
      <alignment horizontal="center"/>
    </xf>
    <xf numFmtId="10" fontId="9" fillId="12" borderId="0" xfId="0" applyNumberFormat="1" applyFont="1" applyFill="1"/>
    <xf numFmtId="3" fontId="10" fillId="0" borderId="0" xfId="0" applyNumberFormat="1" applyFont="1" applyAlignment="1">
      <alignment horizontal="center"/>
    </xf>
    <xf numFmtId="3" fontId="9" fillId="0" borderId="0" xfId="0" applyNumberFormat="1" applyFont="1" applyBorder="1" applyAlignment="1" applyProtection="1">
      <alignment horizontal="center"/>
      <protection locked="0"/>
    </xf>
    <xf numFmtId="3" fontId="10" fillId="8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12" borderId="0" xfId="0" applyNumberFormat="1" applyFont="1" applyFill="1" applyAlignment="1">
      <alignment horizontal="center"/>
    </xf>
    <xf numFmtId="10" fontId="19" fillId="11" borderId="0" xfId="0" applyNumberFormat="1" applyFont="1" applyFill="1" applyAlignment="1">
      <alignment horizontal="right"/>
    </xf>
    <xf numFmtId="3" fontId="4" fillId="1" borderId="0" xfId="0" applyNumberFormat="1" applyFont="1" applyFill="1" applyAlignment="1">
      <alignment horizontal="center"/>
    </xf>
    <xf numFmtId="3" fontId="9" fillId="11" borderId="0" xfId="0" applyNumberFormat="1" applyFont="1" applyFill="1" applyAlignment="1">
      <alignment horizontal="center"/>
    </xf>
    <xf numFmtId="3" fontId="9" fillId="11" borderId="0" xfId="0" applyNumberFormat="1" applyFont="1" applyFill="1"/>
    <xf numFmtId="4" fontId="0" fillId="0" borderId="0" xfId="0" applyNumberFormat="1" applyAlignment="1">
      <alignment horizontal="center"/>
    </xf>
    <xf numFmtId="4" fontId="1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15" borderId="0" xfId="0" applyFont="1" applyFill="1"/>
    <xf numFmtId="0" fontId="30" fillId="15" borderId="0" xfId="0" applyFont="1" applyFill="1"/>
    <xf numFmtId="0" fontId="0" fillId="11" borderId="0" xfId="0" applyFill="1"/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44" fontId="0" fillId="0" borderId="0" xfId="2" applyFont="1"/>
    <xf numFmtId="43" fontId="0" fillId="11" borderId="0" xfId="0" applyNumberFormat="1" applyFill="1"/>
    <xf numFmtId="44" fontId="32" fillId="11" borderId="0" xfId="2" applyFont="1" applyFill="1"/>
    <xf numFmtId="0" fontId="33" fillId="0" borderId="0" xfId="0" applyFont="1"/>
    <xf numFmtId="0" fontId="34" fillId="0" borderId="0" xfId="0" applyFont="1"/>
    <xf numFmtId="0" fontId="35" fillId="11" borderId="0" xfId="0" applyFont="1" applyFill="1"/>
    <xf numFmtId="0" fontId="31" fillId="0" borderId="0" xfId="0" applyFont="1"/>
    <xf numFmtId="43" fontId="32" fillId="6" borderId="0" xfId="1" applyFont="1" applyFill="1"/>
    <xf numFmtId="169" fontId="0" fillId="0" borderId="0" xfId="0" applyNumberFormat="1"/>
    <xf numFmtId="0" fontId="36" fillId="0" borderId="0" xfId="0" applyFont="1"/>
    <xf numFmtId="0" fontId="37" fillId="0" borderId="0" xfId="0" applyFont="1"/>
    <xf numFmtId="0" fontId="38" fillId="0" borderId="0" xfId="0" applyFont="1"/>
    <xf numFmtId="44" fontId="38" fillId="0" borderId="0" xfId="2" applyFont="1"/>
    <xf numFmtId="44" fontId="28" fillId="11" borderId="0" xfId="2" applyFont="1" applyFill="1"/>
    <xf numFmtId="166" fontId="34" fillId="16" borderId="0" xfId="0" applyNumberFormat="1" applyFont="1" applyFill="1"/>
    <xf numFmtId="3" fontId="1" fillId="0" borderId="0" xfId="0" applyNumberFormat="1" applyFont="1"/>
    <xf numFmtId="0" fontId="5" fillId="0" borderId="0" xfId="0" applyFont="1" applyAlignment="1">
      <alignment horizontal="right"/>
    </xf>
    <xf numFmtId="4" fontId="9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3" fillId="12" borderId="0" xfId="0" applyNumberFormat="1" applyFont="1" applyFill="1" applyAlignment="1">
      <alignment horizontal="center"/>
    </xf>
    <xf numFmtId="0" fontId="3" fillId="1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9" fillId="11" borderId="0" xfId="0" applyNumberFormat="1" applyFont="1" applyFill="1" applyAlignment="1">
      <alignment horizontal="center"/>
    </xf>
    <xf numFmtId="3" fontId="9" fillId="8" borderId="0" xfId="0" applyNumberFormat="1" applyFont="1" applyFill="1" applyAlignment="1">
      <alignment horizontal="center"/>
    </xf>
    <xf numFmtId="3" fontId="9" fillId="4" borderId="0" xfId="0" applyNumberFormat="1" applyFont="1" applyFill="1" applyAlignment="1"/>
    <xf numFmtId="3" fontId="9" fillId="0" borderId="0" xfId="0" applyNumberFormat="1" applyFont="1" applyAlignment="1"/>
    <xf numFmtId="3" fontId="10" fillId="8" borderId="0" xfId="0" applyNumberFormat="1" applyFont="1" applyFill="1"/>
    <xf numFmtId="3" fontId="9" fillId="8" borderId="0" xfId="0" applyNumberFormat="1" applyFont="1" applyFill="1"/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factibilidad!$A$51</c:f>
              <c:strCache>
                <c:ptCount val="1"/>
                <c:pt idx="0">
                  <c:v>valor accion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factibilidad!$B$51:$CP$51</c:f>
              <c:numCache>
                <c:formatCode>#,##0</c:formatCode>
                <c:ptCount val="93"/>
                <c:pt idx="0">
                  <c:v>15936.971089256665</c:v>
                </c:pt>
                <c:pt idx="1">
                  <c:v>20496.493496937397</c:v>
                </c:pt>
                <c:pt idx="2">
                  <c:v>22988.372090350509</c:v>
                </c:pt>
                <c:pt idx="3">
                  <c:v>26512.744162390823</c:v>
                </c:pt>
                <c:pt idx="4">
                  <c:v>28021.599203527181</c:v>
                </c:pt>
                <c:pt idx="5">
                  <c:v>29785.844580408899</c:v>
                </c:pt>
                <c:pt idx="6">
                  <c:v>33098.261790088443</c:v>
                </c:pt>
                <c:pt idx="7">
                  <c:v>35919.952864990191</c:v>
                </c:pt>
                <c:pt idx="8">
                  <c:v>38934.395574593087</c:v>
                </c:pt>
                <c:pt idx="9">
                  <c:v>46198.16668935895</c:v>
                </c:pt>
                <c:pt idx="10">
                  <c:v>52857.037078700101</c:v>
                </c:pt>
                <c:pt idx="11">
                  <c:v>54625.696291600114</c:v>
                </c:pt>
                <c:pt idx="12">
                  <c:v>58755.366432402028</c:v>
                </c:pt>
                <c:pt idx="13">
                  <c:v>54611.294690694929</c:v>
                </c:pt>
                <c:pt idx="14">
                  <c:v>60608.799014429038</c:v>
                </c:pt>
                <c:pt idx="15">
                  <c:v>58180.899335109498</c:v>
                </c:pt>
                <c:pt idx="16">
                  <c:v>65674.767872271885</c:v>
                </c:pt>
                <c:pt idx="17">
                  <c:v>63594.900837553942</c:v>
                </c:pt>
                <c:pt idx="18">
                  <c:v>67405.890503285729</c:v>
                </c:pt>
                <c:pt idx="19">
                  <c:v>63803.601542892648</c:v>
                </c:pt>
                <c:pt idx="20">
                  <c:v>65628.821880237287</c:v>
                </c:pt>
                <c:pt idx="21">
                  <c:v>65621.009398287599</c:v>
                </c:pt>
                <c:pt idx="22">
                  <c:v>68016.203458503238</c:v>
                </c:pt>
                <c:pt idx="23">
                  <c:v>68931.781268540188</c:v>
                </c:pt>
                <c:pt idx="24">
                  <c:v>69859.859759057304</c:v>
                </c:pt>
                <c:pt idx="25">
                  <c:v>70800.617501310509</c:v>
                </c:pt>
                <c:pt idx="26">
                  <c:v>71754.236043082448</c:v>
                </c:pt>
                <c:pt idx="27">
                  <c:v>72720.899985547469</c:v>
                </c:pt>
                <c:pt idx="28">
                  <c:v>73700.797064029364</c:v>
                </c:pt>
                <c:pt idx="29">
                  <c:v>74694.118232971232</c:v>
                </c:pt>
                <c:pt idx="30">
                  <c:v>75701.057755471324</c:v>
                </c:pt>
                <c:pt idx="31">
                  <c:v>76721.813297775778</c:v>
                </c:pt>
                <c:pt idx="32">
                  <c:v>77756.58602916298</c:v>
                </c:pt>
                <c:pt idx="33">
                  <c:v>80340.842746540075</c:v>
                </c:pt>
                <c:pt idx="34">
                  <c:v>81364.863013044931</c:v>
                </c:pt>
                <c:pt idx="35">
                  <c:v>82402.218253105777</c:v>
                </c:pt>
                <c:pt idx="36">
                  <c:v>83453.096036949733</c:v>
                </c:pt>
                <c:pt idx="37">
                  <c:v>84517.687422956747</c:v>
                </c:pt>
                <c:pt idx="38">
                  <c:v>85596.187084389749</c:v>
                </c:pt>
                <c:pt idx="39">
                  <c:v>86688.793445356496</c:v>
                </c:pt>
                <c:pt idx="40">
                  <c:v>89360.330941333887</c:v>
                </c:pt>
                <c:pt idx="41">
                  <c:v>90434.278451353268</c:v>
                </c:pt>
                <c:pt idx="42">
                  <c:v>91521.518505870699</c:v>
                </c:pt>
                <c:pt idx="43">
                  <c:v>92622.236034708534</c:v>
                </c:pt>
                <c:pt idx="44">
                  <c:v>95321.891416023995</c:v>
                </c:pt>
                <c:pt idx="45">
                  <c:v>96396.637100447828</c:v>
                </c:pt>
                <c:pt idx="46">
                  <c:v>99097.869663061909</c:v>
                </c:pt>
                <c:pt idx="47">
                  <c:v>100140.09363164523</c:v>
                </c:pt>
                <c:pt idx="48">
                  <c:v>101193.76016198104</c:v>
                </c:pt>
                <c:pt idx="49">
                  <c:v>102259.02194772508</c:v>
                </c:pt>
                <c:pt idx="50">
                  <c:v>103336.03570347225</c:v>
                </c:pt>
                <c:pt idx="51">
                  <c:v>104424.962437428</c:v>
                </c:pt>
                <c:pt idx="52">
                  <c:v>105525.96775476926</c:v>
                </c:pt>
                <c:pt idx="53">
                  <c:v>106639.22219614113</c:v>
                </c:pt>
                <c:pt idx="54">
                  <c:v>107764.90161651297</c:v>
                </c:pt>
                <c:pt idx="55">
                  <c:v>108903.18761055496</c:v>
                </c:pt>
                <c:pt idx="56">
                  <c:v>110054.26799183081</c:v>
                </c:pt>
                <c:pt idx="57">
                  <c:v>111218.33733448527</c:v>
                </c:pt>
                <c:pt idx="58">
                  <c:v>112395.59758779375</c:v>
                </c:pt>
                <c:pt idx="59">
                  <c:v>113586.25877602027</c:v>
                </c:pt>
                <c:pt idx="60">
                  <c:v>114790.53979860018</c:v>
                </c:pt>
                <c:pt idx="61">
                  <c:v>116008.66934886033</c:v>
                </c:pt>
                <c:pt idx="62">
                  <c:v>117240.88697349071</c:v>
                </c:pt>
                <c:pt idx="63">
                  <c:v>118487.44430002387</c:v>
                </c:pt>
                <c:pt idx="64">
                  <c:v>121057.31785937349</c:v>
                </c:pt>
                <c:pt idx="65">
                  <c:v>122252.51627261497</c:v>
                </c:pt>
                <c:pt idx="66">
                  <c:v>123460.99837900046</c:v>
                </c:pt>
                <c:pt idx="67">
                  <c:v>124683.03802293826</c:v>
                </c:pt>
                <c:pt idx="68">
                  <c:v>125918.92903677351</c:v>
                </c:pt>
                <c:pt idx="69">
                  <c:v>127168.9882667122</c:v>
                </c:pt>
                <c:pt idx="70">
                  <c:v>128433.55922991414</c:v>
                </c:pt>
                <c:pt idx="71">
                  <c:v>129713.01656905276</c:v>
                </c:pt>
                <c:pt idx="72">
                  <c:v>131007.77152427413</c:v>
                </c:pt>
                <c:pt idx="73">
                  <c:v>132318.27871689099</c:v>
                </c:pt>
                <c:pt idx="74">
                  <c:v>133645.04464382766</c:v>
                </c:pt>
                <c:pt idx="75">
                  <c:v>134988.63843141604</c:v>
                </c:pt>
                <c:pt idx="76">
                  <c:v>136349.70561455429</c:v>
                </c:pt>
                <c:pt idx="77">
                  <c:v>137728.98602919324</c:v>
                </c:pt>
                <c:pt idx="78">
                  <c:v>139127.33739284673</c:v>
                </c:pt>
                <c:pt idx="79">
                  <c:v>140545.7669007917</c:v>
                </c:pt>
                <c:pt idx="80">
                  <c:v>142770.34355255845</c:v>
                </c:pt>
                <c:pt idx="81">
                  <c:v>144123.34808155458</c:v>
                </c:pt>
                <c:pt idx="82">
                  <c:v>145497.90975509418</c:v>
                </c:pt>
                <c:pt idx="83">
                  <c:v>146896.06662640552</c:v>
                </c:pt>
                <c:pt idx="84">
                  <c:v>148320.4550234279</c:v>
                </c:pt>
                <c:pt idx="85">
                  <c:v>149774.58572167245</c:v>
                </c:pt>
                <c:pt idx="86">
                  <c:v>151263.30136745141</c:v>
                </c:pt>
                <c:pt idx="87">
                  <c:v>152793.57983471532</c:v>
                </c:pt>
                <c:pt idx="88">
                  <c:v>154376.05418348557</c:v>
                </c:pt>
                <c:pt idx="89">
                  <c:v>156028.18467590111</c:v>
                </c:pt>
                <c:pt idx="90">
                  <c:v>157781.84123443087</c:v>
                </c:pt>
                <c:pt idx="91">
                  <c:v>159705.50804680772</c:v>
                </c:pt>
                <c:pt idx="92">
                  <c:v>161996.29242645029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1-4A34-BF78-136C2F57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727328"/>
        <c:axId val="1576726080"/>
      </c:lineChart>
      <c:catAx>
        <c:axId val="1576727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6726080"/>
        <c:crosses val="autoZero"/>
        <c:auto val="1"/>
        <c:lblAlgn val="ctr"/>
        <c:lblOffset val="100"/>
        <c:noMultiLvlLbl val="0"/>
      </c:catAx>
      <c:valAx>
        <c:axId val="15767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67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factibilidad!$A$51</c:f>
              <c:strCache>
                <c:ptCount val="1"/>
                <c:pt idx="0">
                  <c:v>valor accion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factibilidad!$B$51:$CP$51</c:f>
              <c:numCache>
                <c:formatCode>#,##0</c:formatCode>
                <c:ptCount val="93"/>
                <c:pt idx="0">
                  <c:v>15936.971089256665</c:v>
                </c:pt>
                <c:pt idx="1">
                  <c:v>20496.493496937397</c:v>
                </c:pt>
                <c:pt idx="2">
                  <c:v>22988.372090350509</c:v>
                </c:pt>
                <c:pt idx="3">
                  <c:v>26512.744162390823</c:v>
                </c:pt>
                <c:pt idx="4">
                  <c:v>28021.599203527181</c:v>
                </c:pt>
                <c:pt idx="5">
                  <c:v>29785.844580408899</c:v>
                </c:pt>
                <c:pt idx="6">
                  <c:v>33098.261790088443</c:v>
                </c:pt>
                <c:pt idx="7">
                  <c:v>35919.952864990191</c:v>
                </c:pt>
                <c:pt idx="8">
                  <c:v>38934.395574593087</c:v>
                </c:pt>
                <c:pt idx="9">
                  <c:v>46198.16668935895</c:v>
                </c:pt>
                <c:pt idx="10">
                  <c:v>52857.037078700101</c:v>
                </c:pt>
                <c:pt idx="11">
                  <c:v>54625.696291600114</c:v>
                </c:pt>
                <c:pt idx="12">
                  <c:v>58755.366432402028</c:v>
                </c:pt>
                <c:pt idx="13">
                  <c:v>54611.294690694929</c:v>
                </c:pt>
                <c:pt idx="14">
                  <c:v>60608.799014429038</c:v>
                </c:pt>
                <c:pt idx="15">
                  <c:v>58180.899335109498</c:v>
                </c:pt>
                <c:pt idx="16">
                  <c:v>65674.767872271885</c:v>
                </c:pt>
                <c:pt idx="17">
                  <c:v>63594.900837553942</c:v>
                </c:pt>
                <c:pt idx="18">
                  <c:v>67405.890503285729</c:v>
                </c:pt>
                <c:pt idx="19">
                  <c:v>63803.601542892648</c:v>
                </c:pt>
                <c:pt idx="20">
                  <c:v>65628.821880237287</c:v>
                </c:pt>
                <c:pt idx="21">
                  <c:v>65621.009398287599</c:v>
                </c:pt>
                <c:pt idx="22">
                  <c:v>68016.203458503238</c:v>
                </c:pt>
                <c:pt idx="23">
                  <c:v>68931.781268540188</c:v>
                </c:pt>
                <c:pt idx="24">
                  <c:v>69859.859759057304</c:v>
                </c:pt>
                <c:pt idx="25">
                  <c:v>70800.617501310509</c:v>
                </c:pt>
                <c:pt idx="26">
                  <c:v>71754.236043082448</c:v>
                </c:pt>
                <c:pt idx="27">
                  <c:v>72720.899985547469</c:v>
                </c:pt>
                <c:pt idx="28">
                  <c:v>73700.797064029364</c:v>
                </c:pt>
                <c:pt idx="29">
                  <c:v>74694.118232971232</c:v>
                </c:pt>
                <c:pt idx="30">
                  <c:v>75701.057755471324</c:v>
                </c:pt>
                <c:pt idx="31">
                  <c:v>76721.813297775778</c:v>
                </c:pt>
                <c:pt idx="32">
                  <c:v>77756.58602916298</c:v>
                </c:pt>
                <c:pt idx="33">
                  <c:v>80340.842746540075</c:v>
                </c:pt>
                <c:pt idx="34">
                  <c:v>81364.863013044931</c:v>
                </c:pt>
                <c:pt idx="35">
                  <c:v>82402.218253105777</c:v>
                </c:pt>
                <c:pt idx="36">
                  <c:v>83453.096036949733</c:v>
                </c:pt>
                <c:pt idx="37">
                  <c:v>84517.687422956747</c:v>
                </c:pt>
                <c:pt idx="38">
                  <c:v>85596.187084389749</c:v>
                </c:pt>
                <c:pt idx="39">
                  <c:v>86688.793445356496</c:v>
                </c:pt>
                <c:pt idx="40">
                  <c:v>89360.330941333887</c:v>
                </c:pt>
                <c:pt idx="41">
                  <c:v>90434.278451353268</c:v>
                </c:pt>
                <c:pt idx="42">
                  <c:v>91521.518505870699</c:v>
                </c:pt>
                <c:pt idx="43">
                  <c:v>92622.236034708534</c:v>
                </c:pt>
                <c:pt idx="44">
                  <c:v>95321.891416023995</c:v>
                </c:pt>
                <c:pt idx="45">
                  <c:v>96396.637100447828</c:v>
                </c:pt>
                <c:pt idx="46">
                  <c:v>99097.869663061909</c:v>
                </c:pt>
                <c:pt idx="47">
                  <c:v>100140.09363164523</c:v>
                </c:pt>
                <c:pt idx="48">
                  <c:v>101193.76016198104</c:v>
                </c:pt>
                <c:pt idx="49">
                  <c:v>102259.02194772508</c:v>
                </c:pt>
                <c:pt idx="50">
                  <c:v>103336.03570347225</c:v>
                </c:pt>
                <c:pt idx="51">
                  <c:v>104424.962437428</c:v>
                </c:pt>
                <c:pt idx="52">
                  <c:v>105525.96775476926</c:v>
                </c:pt>
                <c:pt idx="53">
                  <c:v>106639.22219614113</c:v>
                </c:pt>
                <c:pt idx="54">
                  <c:v>107764.90161651297</c:v>
                </c:pt>
                <c:pt idx="55">
                  <c:v>108903.18761055496</c:v>
                </c:pt>
                <c:pt idx="56">
                  <c:v>110054.26799183081</c:v>
                </c:pt>
                <c:pt idx="57">
                  <c:v>111218.33733448527</c:v>
                </c:pt>
                <c:pt idx="58">
                  <c:v>112395.59758779375</c:v>
                </c:pt>
                <c:pt idx="59">
                  <c:v>113586.25877602027</c:v>
                </c:pt>
                <c:pt idx="60">
                  <c:v>114790.53979860018</c:v>
                </c:pt>
                <c:pt idx="61">
                  <c:v>116008.66934886033</c:v>
                </c:pt>
                <c:pt idx="62">
                  <c:v>117240.88697349071</c:v>
                </c:pt>
                <c:pt idx="63">
                  <c:v>118487.44430002387</c:v>
                </c:pt>
                <c:pt idx="64">
                  <c:v>121057.31785937349</c:v>
                </c:pt>
                <c:pt idx="65">
                  <c:v>122252.51627261497</c:v>
                </c:pt>
                <c:pt idx="66">
                  <c:v>123460.99837900046</c:v>
                </c:pt>
                <c:pt idx="67">
                  <c:v>124683.03802293826</c:v>
                </c:pt>
                <c:pt idx="68">
                  <c:v>125918.92903677351</c:v>
                </c:pt>
                <c:pt idx="69">
                  <c:v>127168.9882667122</c:v>
                </c:pt>
                <c:pt idx="70">
                  <c:v>128433.55922991414</c:v>
                </c:pt>
                <c:pt idx="71">
                  <c:v>129713.01656905276</c:v>
                </c:pt>
                <c:pt idx="72">
                  <c:v>131007.77152427413</c:v>
                </c:pt>
                <c:pt idx="73">
                  <c:v>132318.27871689099</c:v>
                </c:pt>
                <c:pt idx="74">
                  <c:v>133645.04464382766</c:v>
                </c:pt>
                <c:pt idx="75">
                  <c:v>134988.63843141604</c:v>
                </c:pt>
                <c:pt idx="76">
                  <c:v>136349.70561455429</c:v>
                </c:pt>
                <c:pt idx="77">
                  <c:v>137728.98602919324</c:v>
                </c:pt>
                <c:pt idx="78">
                  <c:v>139127.33739284673</c:v>
                </c:pt>
                <c:pt idx="79">
                  <c:v>140545.7669007917</c:v>
                </c:pt>
                <c:pt idx="80">
                  <c:v>142770.34355255845</c:v>
                </c:pt>
                <c:pt idx="81">
                  <c:v>144123.34808155458</c:v>
                </c:pt>
                <c:pt idx="82">
                  <c:v>145497.90975509418</c:v>
                </c:pt>
                <c:pt idx="83">
                  <c:v>146896.06662640552</c:v>
                </c:pt>
                <c:pt idx="84">
                  <c:v>148320.4550234279</c:v>
                </c:pt>
                <c:pt idx="85">
                  <c:v>149774.58572167245</c:v>
                </c:pt>
                <c:pt idx="86">
                  <c:v>151263.30136745141</c:v>
                </c:pt>
                <c:pt idx="87">
                  <c:v>152793.57983471532</c:v>
                </c:pt>
                <c:pt idx="88">
                  <c:v>154376.05418348557</c:v>
                </c:pt>
                <c:pt idx="89">
                  <c:v>156028.18467590111</c:v>
                </c:pt>
                <c:pt idx="90">
                  <c:v>157781.84123443087</c:v>
                </c:pt>
                <c:pt idx="91">
                  <c:v>159705.50804680772</c:v>
                </c:pt>
                <c:pt idx="92">
                  <c:v>161996.29242645029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8-435D-9508-040E2234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150927"/>
        <c:axId val="1101149263"/>
      </c:lineChart>
      <c:catAx>
        <c:axId val="1101150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149263"/>
        <c:crosses val="autoZero"/>
        <c:auto val="1"/>
        <c:lblAlgn val="ctr"/>
        <c:lblOffset val="100"/>
        <c:noMultiLvlLbl val="0"/>
      </c:catAx>
      <c:valAx>
        <c:axId val="110114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15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571500</xdr:colOff>
      <xdr:row>56</xdr:row>
      <xdr:rowOff>57150</xdr:rowOff>
    </xdr:from>
    <xdr:to>
      <xdr:col>76</xdr:col>
      <xdr:colOff>228600</xdr:colOff>
      <xdr:row>73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180981</xdr:colOff>
      <xdr:row>54</xdr:row>
      <xdr:rowOff>66675</xdr:rowOff>
    </xdr:from>
    <xdr:to>
      <xdr:col>6</xdr:col>
      <xdr:colOff>495306</xdr:colOff>
      <xdr:row>71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zy/Documents/SVO/proyectos%20inmobiliarios/actuales/Pixka/proyectos%20pixka/Puerto%20Vallarta/PV%20factibilidad/Copia%20de%20CUADRO%20DE%20AREAS%20PROYECTO%20PV221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tzy\AppData\Local\Temp\Temp1_costosylistas.zip\Precios%20pre-venta%20Puerto%20Vallarta281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zy/Documents/SVO/proyectos%20inmobiliarios/actuales/Pixka/proyectos%20pixka/Puerto%20Vallarta/PV%20factibilidad/noox%20pv%20factibilidad%2005-10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_venta_LAMAT%20HANGAR%2003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AREAS"/>
      <sheetName val="COSTOS CONSTRUCCION"/>
    </sheetNames>
    <sheetDataSet>
      <sheetData sheetId="0" refreshError="1"/>
      <sheetData sheetId="1">
        <row r="49">
          <cell r="D49">
            <v>1175754150.5379832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LISTA PRECIOS FINAL"/>
      <sheetName val="casasconterreno"/>
      <sheetName val="PREVENTA -6%"/>
      <sheetName val="casasconterreno -6%"/>
    </sheetNames>
    <sheetDataSet>
      <sheetData sheetId="0"/>
      <sheetData sheetId="1">
        <row r="131">
          <cell r="H131">
            <v>26538502.391556494</v>
          </cell>
        </row>
      </sheetData>
      <sheetData sheetId="2">
        <row r="44">
          <cell r="H44">
            <v>21930000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Corrida Financiera"/>
      <sheetName val="1.1) Desagregado Trimestral"/>
      <sheetName val="parametros"/>
      <sheetName val="flujo"/>
      <sheetName val="Calendario Aport Terreno"/>
      <sheetName val="3) Resumen"/>
      <sheetName val="Mercado"/>
    </sheetNames>
    <sheetDataSet>
      <sheetData sheetId="0"/>
      <sheetData sheetId="1"/>
      <sheetData sheetId="2">
        <row r="9">
          <cell r="B9">
            <v>80055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asas"/>
      <sheetName val="LamatCasa con Hangar"/>
    </sheetNames>
    <sheetDataSet>
      <sheetData sheetId="0"/>
      <sheetData sheetId="1">
        <row r="13">
          <cell r="B13">
            <v>292</v>
          </cell>
        </row>
      </sheetData>
      <sheetData sheetId="2">
        <row r="48">
          <cell r="E48">
            <v>184393638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57"/>
  <sheetViews>
    <sheetView zoomScale="120" zoomScaleNormal="120" workbookViewId="0">
      <selection activeCell="B9" sqref="B9"/>
    </sheetView>
  </sheetViews>
  <sheetFormatPr baseColWidth="10" defaultRowHeight="12.75"/>
  <cols>
    <col min="1" max="1" width="25.7109375" style="23" customWidth="1"/>
    <col min="2" max="2" width="12" style="23" customWidth="1"/>
    <col min="3" max="3" width="16.42578125" style="23" customWidth="1"/>
    <col min="4" max="4" width="11.42578125" style="23" customWidth="1"/>
    <col min="5" max="5" width="13.140625" style="23" customWidth="1"/>
    <col min="6" max="6" width="11" style="23" customWidth="1"/>
    <col min="7" max="7" width="14.42578125" style="23" customWidth="1"/>
    <col min="8" max="8" width="14.140625" style="23" bestFit="1" customWidth="1"/>
    <col min="9" max="16384" width="11.42578125" style="23"/>
  </cols>
  <sheetData>
    <row r="1" spans="1:8" ht="20.25">
      <c r="A1" s="19" t="s">
        <v>135</v>
      </c>
      <c r="B1" s="20"/>
      <c r="C1" s="21"/>
      <c r="D1" s="22"/>
      <c r="E1" s="22"/>
      <c r="F1" s="22"/>
    </row>
    <row r="4" spans="1:8">
      <c r="A4" s="5" t="s">
        <v>9</v>
      </c>
      <c r="B4" s="5" t="s">
        <v>66</v>
      </c>
      <c r="C4" s="5" t="s">
        <v>8</v>
      </c>
      <c r="D4" s="131" t="s">
        <v>96</v>
      </c>
      <c r="E4" s="163" t="s">
        <v>51</v>
      </c>
      <c r="F4" s="163"/>
      <c r="G4" s="6" t="s">
        <v>0</v>
      </c>
    </row>
    <row r="5" spans="1:8" s="161" customFormat="1" ht="12">
      <c r="C5" s="161" t="s">
        <v>98</v>
      </c>
      <c r="D5" s="161" t="s">
        <v>79</v>
      </c>
      <c r="E5" s="161" t="s">
        <v>98</v>
      </c>
      <c r="F5" s="161" t="s">
        <v>97</v>
      </c>
      <c r="G5" s="161" t="s">
        <v>97</v>
      </c>
    </row>
    <row r="6" spans="1:8" ht="15.75">
      <c r="A6" s="7" t="s">
        <v>6</v>
      </c>
    </row>
    <row r="7" spans="1:8">
      <c r="A7" s="9" t="s">
        <v>138</v>
      </c>
      <c r="B7" s="168">
        <f>33*12</f>
        <v>396</v>
      </c>
      <c r="C7" s="132">
        <f>G7/B7/ventas!E8</f>
        <v>28973.186666666665</v>
      </c>
      <c r="D7" s="132">
        <v>292</v>
      </c>
      <c r="E7" s="132">
        <f t="shared" ref="E7:E8" si="0">C7/D7</f>
        <v>99.22324200913242</v>
      </c>
      <c r="F7" s="132">
        <f>E7*ventas!E8</f>
        <v>2232.5229452054796</v>
      </c>
      <c r="G7" s="133">
        <f>'[4]LamatCasa con Hangar'!$E$48*(1+B9)</f>
        <v>258151093.19999999</v>
      </c>
    </row>
    <row r="8" spans="1:8">
      <c r="A8" s="9" t="s">
        <v>136</v>
      </c>
      <c r="B8" s="132">
        <f>52*8</f>
        <v>416</v>
      </c>
      <c r="C8" s="132">
        <v>25000</v>
      </c>
      <c r="D8" s="132">
        <v>400</v>
      </c>
      <c r="E8" s="132">
        <f t="shared" si="0"/>
        <v>62.5</v>
      </c>
      <c r="F8" s="132">
        <f>E8*ventas!E9</f>
        <v>1418.75</v>
      </c>
      <c r="G8" s="133">
        <f>B8*C8</f>
        <v>10400000</v>
      </c>
    </row>
    <row r="9" spans="1:8">
      <c r="A9" s="9" t="s">
        <v>137</v>
      </c>
      <c r="B9" s="167">
        <v>0.4</v>
      </c>
      <c r="C9" s="132"/>
      <c r="D9" s="132"/>
      <c r="E9" s="132"/>
      <c r="F9" s="132"/>
      <c r="G9" s="133"/>
    </row>
    <row r="10" spans="1:8">
      <c r="A10" s="1"/>
      <c r="B10" s="26"/>
      <c r="C10" s="75" t="s">
        <v>21</v>
      </c>
      <c r="D10" s="26"/>
      <c r="G10" s="35">
        <f>SUM(G7:G8)</f>
        <v>268551093.19999999</v>
      </c>
    </row>
    <row r="11" spans="1:8">
      <c r="A11" s="1"/>
      <c r="B11" s="26"/>
      <c r="C11" s="75"/>
      <c r="D11" s="26"/>
    </row>
    <row r="12" spans="1:8" ht="15.75">
      <c r="A12" s="7" t="s">
        <v>1</v>
      </c>
      <c r="B12" s="26"/>
      <c r="C12" s="26"/>
      <c r="D12" s="26"/>
      <c r="E12" s="26"/>
      <c r="F12" s="26"/>
    </row>
    <row r="13" spans="1:8" s="11" customFormat="1" ht="11.25">
      <c r="A13" s="10"/>
      <c r="B13" s="4" t="s">
        <v>142</v>
      </c>
      <c r="C13" s="4"/>
      <c r="D13" s="4" t="s">
        <v>7</v>
      </c>
      <c r="E13" s="4" t="s">
        <v>3</v>
      </c>
      <c r="F13" s="4"/>
      <c r="G13" s="4"/>
      <c r="H13" s="3"/>
    </row>
    <row r="14" spans="1:8">
      <c r="A14" s="1"/>
      <c r="B14" s="26"/>
      <c r="C14" s="26"/>
      <c r="D14" s="26"/>
      <c r="E14" s="26"/>
      <c r="F14" s="26"/>
    </row>
    <row r="15" spans="1:8" ht="15">
      <c r="A15" s="8" t="s">
        <v>70</v>
      </c>
      <c r="B15" s="12"/>
      <c r="C15" s="12"/>
      <c r="D15" s="12"/>
      <c r="E15" s="51">
        <v>4500000</v>
      </c>
      <c r="F15" s="51"/>
      <c r="G15" s="12"/>
      <c r="H15" s="35"/>
    </row>
    <row r="16" spans="1:8">
      <c r="A16" s="71" t="s">
        <v>2</v>
      </c>
      <c r="B16" s="51">
        <v>150000</v>
      </c>
      <c r="C16" s="53"/>
      <c r="D16" s="54">
        <f>E15/B16</f>
        <v>30</v>
      </c>
      <c r="E16" s="37"/>
      <c r="F16" s="37"/>
      <c r="G16" s="37"/>
      <c r="H16" s="2"/>
    </row>
    <row r="17" spans="1:8" s="25" customFormat="1">
      <c r="A17" s="72" t="s">
        <v>48</v>
      </c>
      <c r="B17" s="66"/>
      <c r="C17" s="69"/>
      <c r="D17" s="67"/>
      <c r="E17" s="41"/>
      <c r="F17" s="41"/>
      <c r="G17" s="41"/>
      <c r="H17" s="68"/>
    </row>
    <row r="18" spans="1:8">
      <c r="A18" s="71" t="s">
        <v>49</v>
      </c>
      <c r="B18" s="66"/>
      <c r="C18" s="70"/>
      <c r="D18" s="53"/>
      <c r="E18" s="37"/>
      <c r="F18" s="37"/>
      <c r="G18" s="12"/>
    </row>
    <row r="19" spans="1:8">
      <c r="A19" s="71" t="s">
        <v>50</v>
      </c>
      <c r="B19" s="65"/>
      <c r="C19" s="70"/>
      <c r="D19" s="80"/>
      <c r="E19" s="37"/>
      <c r="F19" s="37"/>
      <c r="G19" s="12"/>
    </row>
    <row r="20" spans="1:8">
      <c r="A20" s="1"/>
      <c r="B20" s="37"/>
      <c r="C20" s="37"/>
      <c r="D20" s="53"/>
      <c r="E20" s="37"/>
      <c r="F20" s="37"/>
      <c r="G20" s="12"/>
    </row>
    <row r="21" spans="1:8" ht="15">
      <c r="A21" s="8" t="s">
        <v>69</v>
      </c>
      <c r="B21" s="12"/>
      <c r="C21" s="12"/>
      <c r="D21" s="12"/>
      <c r="E21" s="12"/>
      <c r="F21" s="12"/>
      <c r="G21" s="12"/>
      <c r="H21" s="23" t="s">
        <v>21</v>
      </c>
    </row>
    <row r="22" spans="1:8">
      <c r="A22" s="9" t="s">
        <v>52</v>
      </c>
      <c r="B22" s="52"/>
      <c r="C22" s="37"/>
      <c r="D22" s="52">
        <v>4000000</v>
      </c>
      <c r="E22" s="37"/>
      <c r="F22" s="37"/>
      <c r="G22" s="12"/>
    </row>
    <row r="23" spans="1:8">
      <c r="A23" s="9" t="s">
        <v>53</v>
      </c>
      <c r="B23" s="65"/>
      <c r="C23" s="37"/>
      <c r="D23" s="52">
        <v>4000000</v>
      </c>
      <c r="E23" s="37"/>
      <c r="F23" s="37"/>
      <c r="G23" s="12"/>
    </row>
    <row r="24" spans="1:8">
      <c r="A24" s="9" t="s">
        <v>54</v>
      </c>
      <c r="B24" s="52"/>
      <c r="C24" s="37"/>
      <c r="D24" s="52">
        <v>2000000</v>
      </c>
      <c r="E24" s="37"/>
      <c r="F24" s="37"/>
      <c r="G24" s="12"/>
    </row>
    <row r="25" spans="1:8">
      <c r="A25" s="9" t="s">
        <v>23</v>
      </c>
      <c r="B25" s="169">
        <f>33*[4]casas!$B$13</f>
        <v>9636</v>
      </c>
      <c r="C25" s="170">
        <f>9100</f>
        <v>9100</v>
      </c>
      <c r="D25" s="169">
        <f>B25*C25</f>
        <v>87687600</v>
      </c>
      <c r="E25" s="37"/>
      <c r="F25" s="37"/>
      <c r="G25" s="12"/>
    </row>
    <row r="26" spans="1:8">
      <c r="A26" s="1"/>
      <c r="B26" s="37"/>
      <c r="C26" s="12"/>
      <c r="D26" s="37"/>
      <c r="E26" s="38">
        <f>SUM(D22:D25)</f>
        <v>97687600</v>
      </c>
      <c r="F26" s="38"/>
    </row>
    <row r="27" spans="1:8" ht="15">
      <c r="A27" s="8" t="s">
        <v>24</v>
      </c>
      <c r="B27" s="37"/>
      <c r="C27" s="37"/>
      <c r="D27" s="37"/>
      <c r="E27" s="12"/>
      <c r="F27" s="12"/>
      <c r="G27" s="12"/>
    </row>
    <row r="28" spans="1:8">
      <c r="A28" s="108" t="s">
        <v>55</v>
      </c>
      <c r="B28" s="37"/>
      <c r="C28" s="37"/>
      <c r="D28" s="52"/>
      <c r="E28" s="37">
        <v>500000</v>
      </c>
      <c r="F28" s="37"/>
      <c r="G28" s="12"/>
    </row>
    <row r="29" spans="1:8">
      <c r="A29" s="108" t="s">
        <v>140</v>
      </c>
      <c r="B29" s="37"/>
      <c r="C29" s="37"/>
      <c r="D29" s="52"/>
      <c r="E29" s="37">
        <v>2000000</v>
      </c>
      <c r="F29" s="37"/>
      <c r="G29" s="12"/>
    </row>
    <row r="30" spans="1:8">
      <c r="A30" s="9"/>
      <c r="B30" s="37"/>
      <c r="C30" s="37"/>
      <c r="D30" s="42"/>
      <c r="F30" s="38">
        <f>E28+E29</f>
        <v>2500000</v>
      </c>
      <c r="G30" s="12"/>
    </row>
    <row r="31" spans="1:8">
      <c r="A31" s="9"/>
      <c r="B31" s="37"/>
      <c r="C31" s="37"/>
      <c r="D31" s="42"/>
      <c r="F31" s="38"/>
      <c r="G31" s="12"/>
    </row>
    <row r="32" spans="1:8">
      <c r="A32" s="9" t="s">
        <v>143</v>
      </c>
      <c r="B32" s="37"/>
      <c r="C32" s="37"/>
      <c r="D32" s="42"/>
      <c r="E32" s="171">
        <v>21000000</v>
      </c>
      <c r="G32" s="12"/>
    </row>
    <row r="33" spans="1:8">
      <c r="A33" s="9"/>
      <c r="B33" s="37"/>
      <c r="C33" s="37"/>
      <c r="D33" s="42"/>
      <c r="F33" s="38"/>
      <c r="G33" s="12"/>
    </row>
    <row r="34" spans="1:8">
      <c r="B34" s="12"/>
      <c r="C34" s="12"/>
      <c r="D34" s="12"/>
      <c r="E34" s="12"/>
      <c r="F34" s="12"/>
      <c r="G34" s="12"/>
    </row>
    <row r="35" spans="1:8" ht="15">
      <c r="A35" s="8" t="s">
        <v>38</v>
      </c>
      <c r="B35" s="57">
        <v>7.0000000000000007E-2</v>
      </c>
      <c r="C35" s="55" t="s">
        <v>10</v>
      </c>
      <c r="D35" s="37"/>
      <c r="E35" s="37">
        <f>B35*G10</f>
        <v>18798576.524</v>
      </c>
      <c r="F35" s="37"/>
      <c r="G35" s="12"/>
    </row>
    <row r="36" spans="1:8" ht="15">
      <c r="A36" s="8"/>
      <c r="B36" s="56"/>
      <c r="C36" s="55"/>
      <c r="D36" s="37"/>
      <c r="E36" s="37"/>
      <c r="F36" s="37"/>
      <c r="G36" s="12"/>
    </row>
    <row r="37" spans="1:8" ht="15">
      <c r="A37" s="8" t="s">
        <v>25</v>
      </c>
      <c r="B37" s="37"/>
      <c r="C37" s="37"/>
      <c r="D37" s="37"/>
      <c r="E37" s="37"/>
      <c r="F37" s="37"/>
      <c r="G37" s="12"/>
    </row>
    <row r="38" spans="1:8">
      <c r="A38" s="9" t="s">
        <v>20</v>
      </c>
      <c r="B38" s="57">
        <v>0.17499999999999999</v>
      </c>
      <c r="C38" s="37" t="s">
        <v>23</v>
      </c>
      <c r="D38" s="37"/>
      <c r="E38" s="37">
        <f>B38*SUM(E20:E26)</f>
        <v>17095330</v>
      </c>
      <c r="F38" s="37"/>
      <c r="G38" s="12"/>
    </row>
    <row r="39" spans="1:8">
      <c r="A39" s="9" t="s">
        <v>12</v>
      </c>
      <c r="B39" s="57">
        <v>5.8000000000000003E-2</v>
      </c>
      <c r="C39" s="37" t="s">
        <v>23</v>
      </c>
      <c r="D39" s="37"/>
      <c r="E39" s="37">
        <f>B39*SUM(E20:E26)</f>
        <v>5665880.8000000007</v>
      </c>
      <c r="F39" s="37"/>
      <c r="G39" s="12"/>
      <c r="H39" s="26" t="s">
        <v>21</v>
      </c>
    </row>
    <row r="40" spans="1:8">
      <c r="A40" s="9"/>
      <c r="B40" s="58"/>
      <c r="C40" s="37"/>
      <c r="D40" s="37"/>
      <c r="E40" s="37"/>
      <c r="F40" s="37"/>
      <c r="G40" s="37">
        <f>SUM(E38:E39)</f>
        <v>22761210.800000001</v>
      </c>
    </row>
    <row r="41" spans="1:8" ht="15">
      <c r="A41" s="28" t="s">
        <v>26</v>
      </c>
      <c r="B41" s="58"/>
      <c r="C41" s="37"/>
      <c r="D41" s="37"/>
      <c r="E41" s="37"/>
      <c r="F41" s="37"/>
      <c r="G41" s="12"/>
    </row>
    <row r="42" spans="1:8">
      <c r="A42" s="9" t="s">
        <v>27</v>
      </c>
      <c r="B42" s="57"/>
      <c r="C42" s="37"/>
      <c r="D42" s="37"/>
      <c r="E42" s="37">
        <f>factibilidad!CU35</f>
        <v>0</v>
      </c>
      <c r="F42" s="37"/>
      <c r="G42" s="37"/>
    </row>
    <row r="43" spans="1:8">
      <c r="A43" s="9" t="s">
        <v>31</v>
      </c>
      <c r="B43" s="12"/>
      <c r="C43" s="12"/>
      <c r="D43" s="12"/>
      <c r="E43" s="37">
        <f>factibilidad!CU34</f>
        <v>0</v>
      </c>
      <c r="F43" s="37"/>
      <c r="G43" s="12"/>
    </row>
    <row r="44" spans="1:8">
      <c r="B44" s="12"/>
      <c r="C44" s="12"/>
      <c r="D44" s="12"/>
      <c r="E44" s="37"/>
      <c r="F44" s="37"/>
      <c r="G44" s="12"/>
    </row>
    <row r="45" spans="1:8">
      <c r="A45" s="1"/>
      <c r="B45" s="37"/>
      <c r="C45" s="37"/>
      <c r="D45" s="37"/>
      <c r="E45" s="37"/>
      <c r="F45" s="37"/>
      <c r="G45" s="12"/>
    </row>
    <row r="46" spans="1:8" ht="15">
      <c r="A46" s="8" t="s">
        <v>11</v>
      </c>
      <c r="B46" s="37"/>
      <c r="C46" s="37"/>
      <c r="D46" s="37"/>
      <c r="E46" s="38">
        <f>SUM(E15:E45)</f>
        <v>167247387.324</v>
      </c>
      <c r="F46" s="38"/>
      <c r="G46" s="12"/>
    </row>
    <row r="47" spans="1:8">
      <c r="B47" s="12"/>
      <c r="C47" s="12"/>
      <c r="D47" s="12"/>
      <c r="E47" s="12"/>
      <c r="F47" s="12"/>
      <c r="G47" s="12"/>
    </row>
    <row r="48" spans="1:8" ht="15.75">
      <c r="A48" s="7" t="s">
        <v>4</v>
      </c>
      <c r="B48" s="37"/>
      <c r="C48" s="37"/>
      <c r="D48" s="37"/>
      <c r="E48" s="38">
        <f>G10-E46</f>
        <v>101303705.87599999</v>
      </c>
      <c r="F48" s="38"/>
      <c r="G48" s="12"/>
    </row>
    <row r="49" spans="1:7">
      <c r="B49" s="37"/>
      <c r="C49" s="37"/>
      <c r="D49" s="37"/>
      <c r="E49" s="37"/>
      <c r="F49" s="37"/>
      <c r="G49" s="12"/>
    </row>
    <row r="50" spans="1:7">
      <c r="A50" s="23" t="s">
        <v>22</v>
      </c>
      <c r="B50" s="37"/>
      <c r="C50" s="37"/>
      <c r="D50" s="37"/>
      <c r="E50" s="59">
        <v>2</v>
      </c>
      <c r="F50" s="59"/>
      <c r="G50" s="12"/>
    </row>
    <row r="51" spans="1:7">
      <c r="B51" s="12"/>
      <c r="C51" s="37"/>
      <c r="D51" s="37"/>
      <c r="E51" s="37"/>
      <c r="F51" s="37"/>
      <c r="G51" s="12"/>
    </row>
    <row r="52" spans="1:7">
      <c r="A52" s="23" t="s">
        <v>5</v>
      </c>
      <c r="B52" s="37"/>
      <c r="C52" s="37"/>
      <c r="D52" s="37"/>
      <c r="E52" s="60">
        <f>(E46/G10)</f>
        <v>0.62277678832401795</v>
      </c>
      <c r="F52" s="60"/>
      <c r="G52" s="12"/>
    </row>
    <row r="53" spans="1:7">
      <c r="A53" s="23" t="s">
        <v>14</v>
      </c>
      <c r="B53" s="37"/>
      <c r="C53" s="37"/>
      <c r="D53" s="37"/>
      <c r="E53" s="61">
        <v>4</v>
      </c>
      <c r="F53" s="61"/>
      <c r="G53" s="12"/>
    </row>
    <row r="54" spans="1:7">
      <c r="B54" s="37"/>
      <c r="C54" s="37"/>
      <c r="D54" s="37"/>
      <c r="E54" s="37"/>
      <c r="F54" s="37"/>
      <c r="G54" s="12"/>
    </row>
    <row r="55" spans="1:7">
      <c r="B55" s="37"/>
      <c r="C55" s="37"/>
      <c r="D55" s="37"/>
      <c r="E55" s="60"/>
      <c r="F55" s="60"/>
      <c r="G55" s="12"/>
    </row>
    <row r="56" spans="1:7">
      <c r="B56" s="26"/>
      <c r="C56" s="26"/>
      <c r="D56" s="26"/>
      <c r="E56" s="26"/>
      <c r="F56" s="26"/>
    </row>
    <row r="57" spans="1:7">
      <c r="A57" s="27"/>
    </row>
  </sheetData>
  <mergeCells count="1">
    <mergeCell ref="E4:F4"/>
  </mergeCells>
  <phoneticPr fontId="2" type="noConversion"/>
  <pageMargins left="0.75" right="0.75" top="1.55" bottom="1" header="0" footer="0"/>
  <pageSetup paperSize="9" scale="9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V107"/>
  <sheetViews>
    <sheetView tabSelected="1" topLeftCell="A4" workbookViewId="0">
      <pane xSplit="1" ySplit="3" topLeftCell="B54" activePane="bottomRight" state="frozen"/>
      <selection activeCell="A4" sqref="A4"/>
      <selection pane="topRight" activeCell="B4" sqref="B4"/>
      <selection pane="bottomLeft" activeCell="A5" sqref="A5"/>
      <selection pane="bottomRight" activeCell="V22" sqref="V22"/>
    </sheetView>
  </sheetViews>
  <sheetFormatPr baseColWidth="10" defaultRowHeight="12.75"/>
  <cols>
    <col min="1" max="1" width="24.5703125" style="23" customWidth="1"/>
    <col min="2" max="2" width="17" style="23" customWidth="1"/>
    <col min="3" max="3" width="11.7109375" style="23" customWidth="1"/>
    <col min="4" max="4" width="12" style="23" bestFit="1" customWidth="1"/>
    <col min="5" max="6" width="11.5703125" style="23" customWidth="1"/>
    <col min="7" max="7" width="12.28515625" style="23" customWidth="1"/>
    <col min="8" max="8" width="11.85546875" style="23" customWidth="1"/>
    <col min="9" max="9" width="12.28515625" style="23" customWidth="1"/>
    <col min="10" max="10" width="13.28515625" style="114" customWidth="1"/>
    <col min="11" max="11" width="11.7109375" style="23" customWidth="1"/>
    <col min="12" max="25" width="11.42578125" style="23"/>
    <col min="26" max="26" width="11.85546875" style="23" customWidth="1"/>
    <col min="27" max="27" width="12.85546875" style="1" customWidth="1"/>
    <col min="28" max="28" width="11.42578125" style="23"/>
    <col min="29" max="29" width="11.85546875" style="23" customWidth="1"/>
    <col min="30" max="30" width="11.5703125" style="23" customWidth="1"/>
    <col min="31" max="82" width="11.42578125" style="23"/>
    <col min="83" max="83" width="13.5703125" style="23" customWidth="1"/>
    <col min="84" max="85" width="12.5703125" style="23" customWidth="1"/>
    <col min="86" max="86" width="13.5703125" style="23" customWidth="1"/>
    <col min="87" max="87" width="12.85546875" style="23" customWidth="1"/>
    <col min="88" max="88" width="12.5703125" style="23" customWidth="1"/>
    <col min="89" max="89" width="12.42578125" style="23" customWidth="1"/>
    <col min="90" max="90" width="12.7109375" style="23" customWidth="1"/>
    <col min="91" max="91" width="13.140625" style="23" customWidth="1"/>
    <col min="92" max="93" width="12.7109375" style="23" customWidth="1"/>
    <col min="94" max="94" width="12.42578125" style="23" customWidth="1"/>
    <col min="95" max="95" width="13.140625" style="23" customWidth="1"/>
    <col min="96" max="96" width="12.7109375" style="23" customWidth="1"/>
    <col min="97" max="97" width="13.7109375" style="23" customWidth="1"/>
    <col min="98" max="98" width="7.28515625" style="23" customWidth="1"/>
    <col min="99" max="99" width="13" style="23" customWidth="1"/>
    <col min="100" max="100" width="13.140625" style="23" customWidth="1"/>
    <col min="101" max="16384" width="11.42578125" style="23"/>
  </cols>
  <sheetData>
    <row r="1" spans="1:99" ht="20.25">
      <c r="A1" s="19" t="s">
        <v>18</v>
      </c>
      <c r="B1" s="20"/>
      <c r="C1" s="21"/>
      <c r="D1" s="22"/>
      <c r="E1" s="22"/>
    </row>
    <row r="3" spans="1:99" ht="18">
      <c r="B3" s="164" t="s">
        <v>19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99" ht="18">
      <c r="B4" s="30"/>
      <c r="C4" s="30"/>
      <c r="D4" s="30"/>
      <c r="E4" s="30"/>
      <c r="F4" s="30"/>
      <c r="G4" s="30"/>
      <c r="H4" s="30"/>
      <c r="I4" s="30"/>
      <c r="J4" s="115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99" ht="18">
      <c r="A5" s="31" t="s">
        <v>39</v>
      </c>
      <c r="B5" s="20"/>
      <c r="C5" s="21"/>
      <c r="D5" s="22"/>
      <c r="E5" s="22"/>
      <c r="F5" s="30"/>
      <c r="G5" s="165" t="s">
        <v>73</v>
      </c>
      <c r="H5" s="165"/>
      <c r="I5" s="165"/>
      <c r="J5" s="16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AT5" s="165" t="s">
        <v>73</v>
      </c>
      <c r="AU5" s="165"/>
      <c r="AV5" s="165"/>
      <c r="AW5" s="165"/>
    </row>
    <row r="6" spans="1:99" s="62" customFormat="1"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116">
        <v>9</v>
      </c>
      <c r="K6" s="62">
        <v>10</v>
      </c>
      <c r="L6" s="62">
        <v>11</v>
      </c>
      <c r="M6" s="62">
        <v>12</v>
      </c>
      <c r="N6" s="62">
        <v>13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  <c r="Y6" s="62">
        <v>24</v>
      </c>
      <c r="Z6" s="62">
        <f>Y6+1</f>
        <v>25</v>
      </c>
      <c r="AA6" s="62">
        <f t="shared" ref="AA6:CL6" si="0">Z6+1</f>
        <v>26</v>
      </c>
      <c r="AB6" s="62">
        <f t="shared" si="0"/>
        <v>27</v>
      </c>
      <c r="AC6" s="62">
        <f t="shared" si="0"/>
        <v>28</v>
      </c>
      <c r="AD6" s="62">
        <f t="shared" si="0"/>
        <v>29</v>
      </c>
      <c r="AE6" s="62">
        <f t="shared" si="0"/>
        <v>30</v>
      </c>
      <c r="AF6" s="62">
        <f t="shared" si="0"/>
        <v>31</v>
      </c>
      <c r="AG6" s="62">
        <f t="shared" si="0"/>
        <v>32</v>
      </c>
      <c r="AH6" s="62">
        <f t="shared" si="0"/>
        <v>33</v>
      </c>
      <c r="AI6" s="62">
        <f t="shared" si="0"/>
        <v>34</v>
      </c>
      <c r="AJ6" s="62">
        <f t="shared" si="0"/>
        <v>35</v>
      </c>
      <c r="AK6" s="62">
        <f t="shared" si="0"/>
        <v>36</v>
      </c>
      <c r="AL6" s="62">
        <f t="shared" si="0"/>
        <v>37</v>
      </c>
      <c r="AM6" s="62">
        <f t="shared" si="0"/>
        <v>38</v>
      </c>
      <c r="AN6" s="62">
        <f t="shared" si="0"/>
        <v>39</v>
      </c>
      <c r="AO6" s="62">
        <f t="shared" si="0"/>
        <v>40</v>
      </c>
      <c r="AP6" s="62">
        <f t="shared" si="0"/>
        <v>41</v>
      </c>
      <c r="AQ6" s="62">
        <f t="shared" si="0"/>
        <v>42</v>
      </c>
      <c r="AR6" s="62">
        <f t="shared" si="0"/>
        <v>43</v>
      </c>
      <c r="AS6" s="62">
        <f t="shared" si="0"/>
        <v>44</v>
      </c>
      <c r="AT6" s="62">
        <f t="shared" si="0"/>
        <v>45</v>
      </c>
      <c r="AU6" s="62">
        <f t="shared" si="0"/>
        <v>46</v>
      </c>
      <c r="AV6" s="62">
        <f t="shared" si="0"/>
        <v>47</v>
      </c>
      <c r="AW6" s="62">
        <f t="shared" si="0"/>
        <v>48</v>
      </c>
      <c r="AX6" s="62">
        <f t="shared" si="0"/>
        <v>49</v>
      </c>
      <c r="AY6" s="62">
        <f t="shared" si="0"/>
        <v>50</v>
      </c>
      <c r="AZ6" s="62">
        <f t="shared" si="0"/>
        <v>51</v>
      </c>
      <c r="BA6" s="62">
        <f t="shared" si="0"/>
        <v>52</v>
      </c>
      <c r="BB6" s="62">
        <f t="shared" si="0"/>
        <v>53</v>
      </c>
      <c r="BC6" s="62">
        <f t="shared" si="0"/>
        <v>54</v>
      </c>
      <c r="BD6" s="62">
        <f t="shared" si="0"/>
        <v>55</v>
      </c>
      <c r="BE6" s="62">
        <f t="shared" si="0"/>
        <v>56</v>
      </c>
      <c r="BF6" s="62">
        <f t="shared" si="0"/>
        <v>57</v>
      </c>
      <c r="BG6" s="62">
        <f t="shared" si="0"/>
        <v>58</v>
      </c>
      <c r="BH6" s="62">
        <f t="shared" si="0"/>
        <v>59</v>
      </c>
      <c r="BI6" s="62">
        <f t="shared" si="0"/>
        <v>60</v>
      </c>
      <c r="BJ6" s="62">
        <f t="shared" si="0"/>
        <v>61</v>
      </c>
      <c r="BK6" s="62">
        <f t="shared" si="0"/>
        <v>62</v>
      </c>
      <c r="BL6" s="62">
        <f t="shared" si="0"/>
        <v>63</v>
      </c>
      <c r="BM6" s="62">
        <f t="shared" si="0"/>
        <v>64</v>
      </c>
      <c r="BN6" s="62">
        <f t="shared" si="0"/>
        <v>65</v>
      </c>
      <c r="BO6" s="62">
        <f t="shared" si="0"/>
        <v>66</v>
      </c>
      <c r="BP6" s="62">
        <f t="shared" si="0"/>
        <v>67</v>
      </c>
      <c r="BQ6" s="62">
        <f t="shared" si="0"/>
        <v>68</v>
      </c>
      <c r="BR6" s="62">
        <f t="shared" si="0"/>
        <v>69</v>
      </c>
      <c r="BS6" s="62">
        <f t="shared" si="0"/>
        <v>70</v>
      </c>
      <c r="BT6" s="62">
        <f t="shared" si="0"/>
        <v>71</v>
      </c>
      <c r="BU6" s="62">
        <f t="shared" si="0"/>
        <v>72</v>
      </c>
      <c r="BV6" s="62">
        <f t="shared" si="0"/>
        <v>73</v>
      </c>
      <c r="BW6" s="62">
        <f t="shared" si="0"/>
        <v>74</v>
      </c>
      <c r="BX6" s="62">
        <f t="shared" si="0"/>
        <v>75</v>
      </c>
      <c r="BY6" s="62">
        <f t="shared" si="0"/>
        <v>76</v>
      </c>
      <c r="BZ6" s="62">
        <f t="shared" si="0"/>
        <v>77</v>
      </c>
      <c r="CA6" s="62">
        <f t="shared" si="0"/>
        <v>78</v>
      </c>
      <c r="CB6" s="62">
        <f t="shared" si="0"/>
        <v>79</v>
      </c>
      <c r="CC6" s="62">
        <f t="shared" si="0"/>
        <v>80</v>
      </c>
      <c r="CD6" s="62">
        <f t="shared" si="0"/>
        <v>81</v>
      </c>
      <c r="CE6" s="62">
        <f t="shared" si="0"/>
        <v>82</v>
      </c>
      <c r="CF6" s="62">
        <f t="shared" si="0"/>
        <v>83</v>
      </c>
      <c r="CG6" s="62">
        <f t="shared" si="0"/>
        <v>84</v>
      </c>
      <c r="CH6" s="62">
        <f t="shared" si="0"/>
        <v>85</v>
      </c>
      <c r="CI6" s="62">
        <f t="shared" si="0"/>
        <v>86</v>
      </c>
      <c r="CJ6" s="62">
        <f t="shared" si="0"/>
        <v>87</v>
      </c>
      <c r="CK6" s="62">
        <f t="shared" si="0"/>
        <v>88</v>
      </c>
      <c r="CL6" s="62">
        <f t="shared" si="0"/>
        <v>89</v>
      </c>
      <c r="CM6" s="62">
        <f t="shared" ref="CM6:CS6" si="1">CL6+1</f>
        <v>90</v>
      </c>
      <c r="CN6" s="62">
        <f t="shared" si="1"/>
        <v>91</v>
      </c>
      <c r="CO6" s="62">
        <f t="shared" si="1"/>
        <v>92</v>
      </c>
      <c r="CP6" s="62">
        <f t="shared" si="1"/>
        <v>93</v>
      </c>
      <c r="CQ6" s="62">
        <f t="shared" si="1"/>
        <v>94</v>
      </c>
      <c r="CR6" s="62">
        <f t="shared" si="1"/>
        <v>95</v>
      </c>
      <c r="CS6" s="62">
        <f t="shared" si="1"/>
        <v>96</v>
      </c>
      <c r="CU6" s="91" t="s">
        <v>68</v>
      </c>
    </row>
    <row r="8" spans="1:99" ht="13.5" customHeight="1">
      <c r="A8" s="13" t="s">
        <v>34</v>
      </c>
    </row>
    <row r="9" spans="1:99" ht="13.5" customHeight="1">
      <c r="A9" s="87" t="s">
        <v>67</v>
      </c>
    </row>
    <row r="10" spans="1:99" s="26" customFormat="1">
      <c r="A10" s="107" t="s">
        <v>145</v>
      </c>
      <c r="B10" s="37"/>
      <c r="C10" s="37"/>
      <c r="D10" s="37"/>
      <c r="E10" s="37"/>
      <c r="F10" s="37"/>
      <c r="G10" s="37">
        <v>4500000</v>
      </c>
      <c r="H10" s="37"/>
      <c r="I10" s="37"/>
      <c r="J10" s="117"/>
      <c r="K10" s="37">
        <v>3000000</v>
      </c>
      <c r="L10" s="37">
        <f>K10</f>
        <v>3000000</v>
      </c>
      <c r="M10" s="37">
        <f t="shared" ref="M10:BX10" si="2">L10</f>
        <v>3000000</v>
      </c>
      <c r="N10" s="37">
        <f t="shared" si="2"/>
        <v>3000000</v>
      </c>
      <c r="O10" s="37">
        <f t="shared" si="2"/>
        <v>3000000</v>
      </c>
      <c r="P10" s="37">
        <f t="shared" si="2"/>
        <v>3000000</v>
      </c>
      <c r="Q10" s="37">
        <f t="shared" si="2"/>
        <v>3000000</v>
      </c>
      <c r="R10" s="37">
        <f t="shared" si="2"/>
        <v>3000000</v>
      </c>
      <c r="S10" s="37">
        <f t="shared" si="2"/>
        <v>3000000</v>
      </c>
      <c r="T10" s="37">
        <f t="shared" si="2"/>
        <v>3000000</v>
      </c>
      <c r="U10" s="37">
        <f t="shared" si="2"/>
        <v>3000000</v>
      </c>
      <c r="V10" s="37">
        <f t="shared" si="2"/>
        <v>3000000</v>
      </c>
      <c r="W10" s="37">
        <f t="shared" si="2"/>
        <v>3000000</v>
      </c>
      <c r="X10" s="37">
        <f t="shared" si="2"/>
        <v>3000000</v>
      </c>
      <c r="Y10" s="37">
        <f t="shared" si="2"/>
        <v>3000000</v>
      </c>
      <c r="Z10" s="37">
        <f t="shared" si="2"/>
        <v>3000000</v>
      </c>
      <c r="AA10" s="37">
        <f t="shared" si="2"/>
        <v>3000000</v>
      </c>
      <c r="AB10" s="37">
        <f t="shared" si="2"/>
        <v>3000000</v>
      </c>
      <c r="AC10" s="37">
        <f t="shared" si="2"/>
        <v>3000000</v>
      </c>
      <c r="AD10" s="37">
        <f t="shared" si="2"/>
        <v>3000000</v>
      </c>
      <c r="AE10" s="37">
        <f t="shared" si="2"/>
        <v>3000000</v>
      </c>
      <c r="AF10" s="37">
        <f t="shared" si="2"/>
        <v>3000000</v>
      </c>
      <c r="AG10" s="37">
        <f t="shared" si="2"/>
        <v>3000000</v>
      </c>
      <c r="AH10" s="37">
        <f t="shared" si="2"/>
        <v>3000000</v>
      </c>
      <c r="AI10" s="37">
        <f t="shared" si="2"/>
        <v>3000000</v>
      </c>
      <c r="AJ10" s="37">
        <f t="shared" si="2"/>
        <v>3000000</v>
      </c>
      <c r="AK10" s="37">
        <f t="shared" si="2"/>
        <v>3000000</v>
      </c>
      <c r="AL10" s="37">
        <f t="shared" si="2"/>
        <v>3000000</v>
      </c>
      <c r="AM10" s="37">
        <f t="shared" si="2"/>
        <v>3000000</v>
      </c>
      <c r="AN10" s="37">
        <f t="shared" si="2"/>
        <v>3000000</v>
      </c>
      <c r="AO10" s="37">
        <f t="shared" si="2"/>
        <v>3000000</v>
      </c>
      <c r="AP10" s="37">
        <f t="shared" si="2"/>
        <v>3000000</v>
      </c>
      <c r="AQ10" s="37">
        <f t="shared" si="2"/>
        <v>3000000</v>
      </c>
      <c r="AR10" s="37">
        <f t="shared" si="2"/>
        <v>3000000</v>
      </c>
      <c r="AS10" s="37">
        <f t="shared" si="2"/>
        <v>3000000</v>
      </c>
      <c r="AT10" s="37">
        <f t="shared" si="2"/>
        <v>3000000</v>
      </c>
      <c r="AU10" s="37">
        <f t="shared" si="2"/>
        <v>3000000</v>
      </c>
      <c r="AV10" s="37">
        <f t="shared" si="2"/>
        <v>3000000</v>
      </c>
      <c r="AW10" s="37">
        <f t="shared" si="2"/>
        <v>3000000</v>
      </c>
      <c r="AX10" s="37">
        <f t="shared" si="2"/>
        <v>3000000</v>
      </c>
      <c r="AY10" s="37">
        <f t="shared" si="2"/>
        <v>3000000</v>
      </c>
      <c r="AZ10" s="37">
        <f t="shared" si="2"/>
        <v>3000000</v>
      </c>
      <c r="BA10" s="37">
        <f t="shared" si="2"/>
        <v>3000000</v>
      </c>
      <c r="BB10" s="37">
        <f t="shared" si="2"/>
        <v>3000000</v>
      </c>
      <c r="BC10" s="37">
        <f t="shared" si="2"/>
        <v>3000000</v>
      </c>
      <c r="BD10" s="37">
        <f t="shared" si="2"/>
        <v>3000000</v>
      </c>
      <c r="BE10" s="37">
        <f t="shared" si="2"/>
        <v>3000000</v>
      </c>
      <c r="BF10" s="37">
        <f t="shared" si="2"/>
        <v>3000000</v>
      </c>
      <c r="BG10" s="37">
        <f t="shared" si="2"/>
        <v>3000000</v>
      </c>
      <c r="BH10" s="37">
        <f t="shared" si="2"/>
        <v>3000000</v>
      </c>
      <c r="BI10" s="37">
        <f t="shared" si="2"/>
        <v>3000000</v>
      </c>
      <c r="BJ10" s="37">
        <f t="shared" si="2"/>
        <v>3000000</v>
      </c>
      <c r="BK10" s="37">
        <f t="shared" si="2"/>
        <v>3000000</v>
      </c>
      <c r="BL10" s="37">
        <f t="shared" si="2"/>
        <v>3000000</v>
      </c>
      <c r="BM10" s="37">
        <f t="shared" si="2"/>
        <v>3000000</v>
      </c>
      <c r="BN10" s="37">
        <f t="shared" si="2"/>
        <v>3000000</v>
      </c>
      <c r="BO10" s="37">
        <f t="shared" si="2"/>
        <v>3000000</v>
      </c>
      <c r="BP10" s="37">
        <f t="shared" si="2"/>
        <v>3000000</v>
      </c>
      <c r="BQ10" s="37">
        <f t="shared" si="2"/>
        <v>3000000</v>
      </c>
      <c r="BR10" s="37">
        <f t="shared" si="2"/>
        <v>3000000</v>
      </c>
      <c r="BS10" s="37">
        <f t="shared" si="2"/>
        <v>3000000</v>
      </c>
      <c r="BT10" s="37">
        <f t="shared" si="2"/>
        <v>3000000</v>
      </c>
      <c r="BU10" s="37">
        <f t="shared" si="2"/>
        <v>3000000</v>
      </c>
      <c r="BV10" s="37">
        <f t="shared" si="2"/>
        <v>3000000</v>
      </c>
      <c r="BW10" s="37">
        <f t="shared" si="2"/>
        <v>3000000</v>
      </c>
      <c r="BX10" s="37">
        <f t="shared" si="2"/>
        <v>3000000</v>
      </c>
      <c r="BY10" s="37">
        <f t="shared" ref="BY10:CP10" si="3">BX10</f>
        <v>3000000</v>
      </c>
      <c r="BZ10" s="37">
        <f t="shared" si="3"/>
        <v>3000000</v>
      </c>
      <c r="CA10" s="37">
        <f t="shared" si="3"/>
        <v>3000000</v>
      </c>
      <c r="CB10" s="37">
        <f t="shared" si="3"/>
        <v>3000000</v>
      </c>
      <c r="CC10" s="37">
        <f t="shared" si="3"/>
        <v>3000000</v>
      </c>
      <c r="CD10" s="37">
        <f t="shared" si="3"/>
        <v>3000000</v>
      </c>
      <c r="CE10" s="37">
        <f t="shared" si="3"/>
        <v>3000000</v>
      </c>
      <c r="CF10" s="37">
        <f t="shared" si="3"/>
        <v>3000000</v>
      </c>
      <c r="CG10" s="37">
        <f t="shared" si="3"/>
        <v>3000000</v>
      </c>
      <c r="CH10" s="37">
        <f t="shared" si="3"/>
        <v>3000000</v>
      </c>
      <c r="CI10" s="37">
        <f t="shared" si="3"/>
        <v>3000000</v>
      </c>
      <c r="CJ10" s="37">
        <f t="shared" si="3"/>
        <v>3000000</v>
      </c>
      <c r="CK10" s="37">
        <f t="shared" si="3"/>
        <v>3000000</v>
      </c>
      <c r="CL10" s="37">
        <f t="shared" si="3"/>
        <v>3000000</v>
      </c>
      <c r="CM10" s="37">
        <f t="shared" si="3"/>
        <v>3000000</v>
      </c>
      <c r="CN10" s="37">
        <f t="shared" si="3"/>
        <v>3000000</v>
      </c>
      <c r="CO10" s="37">
        <f t="shared" si="3"/>
        <v>3000000</v>
      </c>
      <c r="CP10" s="37">
        <f t="shared" si="3"/>
        <v>3000000</v>
      </c>
      <c r="CQ10" s="37">
        <v>1000000</v>
      </c>
      <c r="CR10" s="158"/>
      <c r="CS10" s="89">
        <f>principal!G7-SUM(factibilidad!B10:CR10)</f>
        <v>651093.19999998808</v>
      </c>
      <c r="CU10" s="38">
        <f t="shared" ref="CU10:CU11" si="4">SUM(B10:CS10)</f>
        <v>258151093.19999999</v>
      </c>
    </row>
    <row r="11" spans="1:99">
      <c r="A11" s="15" t="s">
        <v>139</v>
      </c>
      <c r="B11" s="37"/>
      <c r="C11" s="37"/>
      <c r="D11" s="41"/>
      <c r="E11" s="41"/>
      <c r="F11" s="41"/>
      <c r="G11" s="41"/>
      <c r="H11" s="41"/>
      <c r="I11" s="41"/>
      <c r="J11" s="117"/>
      <c r="K11" s="41"/>
      <c r="L11" s="41"/>
      <c r="M11" s="41">
        <v>100000</v>
      </c>
      <c r="N11" s="41">
        <f>M11</f>
        <v>100000</v>
      </c>
      <c r="O11" s="41">
        <f t="shared" ref="O11:BB11" si="5">N11</f>
        <v>100000</v>
      </c>
      <c r="P11" s="41">
        <f t="shared" si="5"/>
        <v>100000</v>
      </c>
      <c r="Q11" s="41">
        <f t="shared" si="5"/>
        <v>100000</v>
      </c>
      <c r="R11" s="41">
        <f t="shared" si="5"/>
        <v>100000</v>
      </c>
      <c r="S11" s="41">
        <f t="shared" si="5"/>
        <v>100000</v>
      </c>
      <c r="T11" s="41">
        <f t="shared" si="5"/>
        <v>100000</v>
      </c>
      <c r="U11" s="41">
        <f t="shared" si="5"/>
        <v>100000</v>
      </c>
      <c r="V11" s="41">
        <f t="shared" si="5"/>
        <v>100000</v>
      </c>
      <c r="W11" s="41">
        <f t="shared" si="5"/>
        <v>100000</v>
      </c>
      <c r="X11" s="41">
        <f t="shared" si="5"/>
        <v>100000</v>
      </c>
      <c r="Y11" s="41">
        <f t="shared" si="5"/>
        <v>100000</v>
      </c>
      <c r="Z11" s="41">
        <f t="shared" si="5"/>
        <v>100000</v>
      </c>
      <c r="AA11" s="41">
        <f t="shared" si="5"/>
        <v>100000</v>
      </c>
      <c r="AB11" s="41">
        <f t="shared" si="5"/>
        <v>100000</v>
      </c>
      <c r="AC11" s="41">
        <f t="shared" si="5"/>
        <v>100000</v>
      </c>
      <c r="AD11" s="41">
        <f t="shared" si="5"/>
        <v>100000</v>
      </c>
      <c r="AE11" s="41">
        <f t="shared" si="5"/>
        <v>100000</v>
      </c>
      <c r="AF11" s="41">
        <f t="shared" si="5"/>
        <v>100000</v>
      </c>
      <c r="AG11" s="41">
        <f t="shared" si="5"/>
        <v>100000</v>
      </c>
      <c r="AH11" s="41">
        <f t="shared" si="5"/>
        <v>100000</v>
      </c>
      <c r="AI11" s="41">
        <f t="shared" si="5"/>
        <v>100000</v>
      </c>
      <c r="AJ11" s="41">
        <f t="shared" si="5"/>
        <v>100000</v>
      </c>
      <c r="AK11" s="41">
        <f t="shared" si="5"/>
        <v>100000</v>
      </c>
      <c r="AL11" s="41">
        <f t="shared" si="5"/>
        <v>100000</v>
      </c>
      <c r="AM11" s="41">
        <f t="shared" si="5"/>
        <v>100000</v>
      </c>
      <c r="AN11" s="41">
        <f t="shared" si="5"/>
        <v>100000</v>
      </c>
      <c r="AO11" s="41">
        <f t="shared" si="5"/>
        <v>100000</v>
      </c>
      <c r="AP11" s="41">
        <f t="shared" si="5"/>
        <v>100000</v>
      </c>
      <c r="AQ11" s="41">
        <f t="shared" si="5"/>
        <v>100000</v>
      </c>
      <c r="AR11" s="41">
        <f t="shared" si="5"/>
        <v>100000</v>
      </c>
      <c r="AS11" s="41">
        <f t="shared" si="5"/>
        <v>100000</v>
      </c>
      <c r="AT11" s="41">
        <f t="shared" si="5"/>
        <v>100000</v>
      </c>
      <c r="AU11" s="41">
        <f t="shared" si="5"/>
        <v>100000</v>
      </c>
      <c r="AV11" s="41">
        <f t="shared" si="5"/>
        <v>100000</v>
      </c>
      <c r="AW11" s="41">
        <f t="shared" si="5"/>
        <v>100000</v>
      </c>
      <c r="AX11" s="41">
        <f t="shared" si="5"/>
        <v>100000</v>
      </c>
      <c r="AY11" s="41">
        <f t="shared" si="5"/>
        <v>100000</v>
      </c>
      <c r="AZ11" s="41">
        <f t="shared" si="5"/>
        <v>100000</v>
      </c>
      <c r="BA11" s="41">
        <f t="shared" si="5"/>
        <v>100000</v>
      </c>
      <c r="BB11" s="41">
        <f t="shared" si="5"/>
        <v>100000</v>
      </c>
      <c r="BC11" s="41">
        <f t="shared" ref="BC11:CQ11" si="6">BB11</f>
        <v>100000</v>
      </c>
      <c r="BD11" s="41">
        <f t="shared" si="6"/>
        <v>100000</v>
      </c>
      <c r="BE11" s="41">
        <f t="shared" si="6"/>
        <v>100000</v>
      </c>
      <c r="BF11" s="41">
        <f t="shared" si="6"/>
        <v>100000</v>
      </c>
      <c r="BG11" s="41">
        <f t="shared" si="6"/>
        <v>100000</v>
      </c>
      <c r="BH11" s="41">
        <f t="shared" si="6"/>
        <v>100000</v>
      </c>
      <c r="BI11" s="41">
        <f t="shared" si="6"/>
        <v>100000</v>
      </c>
      <c r="BJ11" s="41">
        <f t="shared" si="6"/>
        <v>100000</v>
      </c>
      <c r="BK11" s="41">
        <f t="shared" si="6"/>
        <v>100000</v>
      </c>
      <c r="BL11" s="41">
        <f t="shared" si="6"/>
        <v>100000</v>
      </c>
      <c r="BM11" s="41">
        <f t="shared" si="6"/>
        <v>100000</v>
      </c>
      <c r="BN11" s="41">
        <f t="shared" si="6"/>
        <v>100000</v>
      </c>
      <c r="BO11" s="41">
        <f t="shared" si="6"/>
        <v>100000</v>
      </c>
      <c r="BP11" s="41">
        <f t="shared" si="6"/>
        <v>100000</v>
      </c>
      <c r="BQ11" s="41">
        <f t="shared" si="6"/>
        <v>100000</v>
      </c>
      <c r="BR11" s="41">
        <f t="shared" si="6"/>
        <v>100000</v>
      </c>
      <c r="BS11" s="41">
        <f t="shared" si="6"/>
        <v>100000</v>
      </c>
      <c r="BT11" s="41">
        <f t="shared" si="6"/>
        <v>100000</v>
      </c>
      <c r="BU11" s="41">
        <f t="shared" si="6"/>
        <v>100000</v>
      </c>
      <c r="BV11" s="41">
        <f t="shared" si="6"/>
        <v>100000</v>
      </c>
      <c r="BW11" s="41">
        <f t="shared" si="6"/>
        <v>100000</v>
      </c>
      <c r="BX11" s="41">
        <f t="shared" si="6"/>
        <v>100000</v>
      </c>
      <c r="BY11" s="41">
        <f t="shared" si="6"/>
        <v>100000</v>
      </c>
      <c r="BZ11" s="41">
        <f t="shared" si="6"/>
        <v>100000</v>
      </c>
      <c r="CA11" s="41">
        <f t="shared" si="6"/>
        <v>100000</v>
      </c>
      <c r="CB11" s="41">
        <f t="shared" si="6"/>
        <v>100000</v>
      </c>
      <c r="CC11" s="41">
        <f t="shared" si="6"/>
        <v>100000</v>
      </c>
      <c r="CD11" s="41">
        <f t="shared" si="6"/>
        <v>100000</v>
      </c>
      <c r="CE11" s="41">
        <f t="shared" si="6"/>
        <v>100000</v>
      </c>
      <c r="CF11" s="41">
        <f t="shared" si="6"/>
        <v>100000</v>
      </c>
      <c r="CG11" s="41">
        <f t="shared" si="6"/>
        <v>100000</v>
      </c>
      <c r="CH11" s="41">
        <f t="shared" si="6"/>
        <v>100000</v>
      </c>
      <c r="CI11" s="41">
        <f t="shared" si="6"/>
        <v>100000</v>
      </c>
      <c r="CJ11" s="41">
        <f t="shared" si="6"/>
        <v>100000</v>
      </c>
      <c r="CK11" s="41">
        <f t="shared" si="6"/>
        <v>100000</v>
      </c>
      <c r="CL11" s="41">
        <f t="shared" si="6"/>
        <v>100000</v>
      </c>
      <c r="CM11" s="41">
        <f t="shared" si="6"/>
        <v>100000</v>
      </c>
      <c r="CN11" s="41">
        <f t="shared" si="6"/>
        <v>100000</v>
      </c>
      <c r="CO11" s="41">
        <f t="shared" si="6"/>
        <v>100000</v>
      </c>
      <c r="CP11" s="41">
        <f t="shared" si="6"/>
        <v>100000</v>
      </c>
      <c r="CQ11" s="41">
        <f t="shared" si="6"/>
        <v>100000</v>
      </c>
      <c r="CR11" s="41"/>
      <c r="CS11" s="89">
        <f>principal!G8-SUM(factibilidad!B11:CR11)</f>
        <v>2100000</v>
      </c>
      <c r="CU11" s="38">
        <f t="shared" si="4"/>
        <v>10400000</v>
      </c>
    </row>
    <row r="12" spans="1:99">
      <c r="A12" s="87" t="s">
        <v>3</v>
      </c>
      <c r="B12" s="38">
        <f>SUM(B10:B11)</f>
        <v>0</v>
      </c>
      <c r="C12" s="38">
        <f>SUM(C10:C11)</f>
        <v>0</v>
      </c>
      <c r="D12" s="38">
        <f>SUM(D10:D11)</f>
        <v>0</v>
      </c>
      <c r="E12" s="38">
        <f>SUM(E10:E11)</f>
        <v>0</v>
      </c>
      <c r="F12" s="38">
        <f>SUM(F10:F11)</f>
        <v>0</v>
      </c>
      <c r="G12" s="38">
        <f>SUM(G10:G11)</f>
        <v>4500000</v>
      </c>
      <c r="H12" s="38">
        <f>SUM(H10:H11)</f>
        <v>0</v>
      </c>
      <c r="I12" s="38">
        <f>SUM(I10:I11)</f>
        <v>0</v>
      </c>
      <c r="J12" s="118">
        <f>SUM(J10:J11)</f>
        <v>0</v>
      </c>
      <c r="K12" s="38">
        <f>SUM(K10:K11)</f>
        <v>3000000</v>
      </c>
      <c r="L12" s="38">
        <f>SUM(L10:L11)</f>
        <v>3000000</v>
      </c>
      <c r="M12" s="38">
        <f>SUM(M10:M11)</f>
        <v>3100000</v>
      </c>
      <c r="N12" s="38">
        <f>SUM(N10:N11)</f>
        <v>3100000</v>
      </c>
      <c r="O12" s="38">
        <f>SUM(O10:O11)</f>
        <v>3100000</v>
      </c>
      <c r="P12" s="38">
        <f>SUM(P10:P11)</f>
        <v>3100000</v>
      </c>
      <c r="Q12" s="38">
        <f>SUM(Q10:Q11)</f>
        <v>3100000</v>
      </c>
      <c r="R12" s="38">
        <f>SUM(R10:R11)</f>
        <v>3100000</v>
      </c>
      <c r="S12" s="38">
        <f>SUM(S10:S11)</f>
        <v>3100000</v>
      </c>
      <c r="T12" s="38">
        <f>SUM(T10:T11)</f>
        <v>3100000</v>
      </c>
      <c r="U12" s="38">
        <f>SUM(U10:U11)</f>
        <v>3100000</v>
      </c>
      <c r="V12" s="38">
        <f>SUM(V10:V11)</f>
        <v>3100000</v>
      </c>
      <c r="W12" s="38">
        <f>SUM(W10:W11)</f>
        <v>3100000</v>
      </c>
      <c r="X12" s="38">
        <f>SUM(X10:X11)</f>
        <v>3100000</v>
      </c>
      <c r="Y12" s="38">
        <f>SUM(Y10:Y11)</f>
        <v>3100000</v>
      </c>
      <c r="Z12" s="38">
        <f>SUM(Z10:Z11)</f>
        <v>3100000</v>
      </c>
      <c r="AA12" s="38">
        <f>SUM(AA10:AA11)</f>
        <v>3100000</v>
      </c>
      <c r="AB12" s="38">
        <f>SUM(AB10:AB11)</f>
        <v>3100000</v>
      </c>
      <c r="AC12" s="38">
        <f>SUM(AC10:AC11)</f>
        <v>3100000</v>
      </c>
      <c r="AD12" s="38">
        <f>SUM(AD10:AD11)</f>
        <v>3100000</v>
      </c>
      <c r="AE12" s="38">
        <f>SUM(AE10:AE11)</f>
        <v>3100000</v>
      </c>
      <c r="AF12" s="38">
        <f>SUM(AF10:AF11)</f>
        <v>3100000</v>
      </c>
      <c r="AG12" s="38">
        <f>SUM(AG10:AG11)</f>
        <v>3100000</v>
      </c>
      <c r="AH12" s="38">
        <f>SUM(AH10:AH11)</f>
        <v>3100000</v>
      </c>
      <c r="AI12" s="38">
        <f>SUM(AI10:AI11)</f>
        <v>3100000</v>
      </c>
      <c r="AJ12" s="38">
        <f>SUM(AJ10:AJ11)</f>
        <v>3100000</v>
      </c>
      <c r="AK12" s="38">
        <f>SUM(AK10:AK11)</f>
        <v>3100000</v>
      </c>
      <c r="AL12" s="38">
        <f>SUM(AL10:AL11)</f>
        <v>3100000</v>
      </c>
      <c r="AM12" s="38">
        <f>SUM(AM10:AM11)</f>
        <v>3100000</v>
      </c>
      <c r="AN12" s="38">
        <f>SUM(AN10:AN11)</f>
        <v>3100000</v>
      </c>
      <c r="AO12" s="38">
        <f>SUM(AO10:AO11)</f>
        <v>3100000</v>
      </c>
      <c r="AP12" s="38">
        <f>SUM(AP10:AP11)</f>
        <v>3100000</v>
      </c>
      <c r="AQ12" s="38">
        <f>SUM(AQ10:AQ11)</f>
        <v>3100000</v>
      </c>
      <c r="AR12" s="38">
        <f>SUM(AR10:AR11)</f>
        <v>3100000</v>
      </c>
      <c r="AS12" s="38">
        <f>SUM(AS10:AS11)</f>
        <v>3100000</v>
      </c>
      <c r="AT12" s="38">
        <f>SUM(AT10:AT11)</f>
        <v>3100000</v>
      </c>
      <c r="AU12" s="38">
        <f>SUM(AU10:AU11)</f>
        <v>3100000</v>
      </c>
      <c r="AV12" s="38">
        <f>SUM(AV10:AV11)</f>
        <v>3100000</v>
      </c>
      <c r="AW12" s="38">
        <f>SUM(AW10:AW11)</f>
        <v>3100000</v>
      </c>
      <c r="AX12" s="38">
        <f>SUM(AX10:AX11)</f>
        <v>3100000</v>
      </c>
      <c r="AY12" s="38">
        <f>SUM(AY10:AY11)</f>
        <v>3100000</v>
      </c>
      <c r="AZ12" s="38">
        <f>SUM(AZ10:AZ11)</f>
        <v>3100000</v>
      </c>
      <c r="BA12" s="38">
        <f>SUM(BA10:BA11)</f>
        <v>3100000</v>
      </c>
      <c r="BB12" s="38">
        <f>SUM(BB10:BB11)</f>
        <v>3100000</v>
      </c>
      <c r="BC12" s="38">
        <f>SUM(BC10:BC11)</f>
        <v>3100000</v>
      </c>
      <c r="BD12" s="38">
        <f>SUM(BD10:BD11)</f>
        <v>3100000</v>
      </c>
      <c r="BE12" s="38">
        <f>SUM(BE10:BE11)</f>
        <v>3100000</v>
      </c>
      <c r="BF12" s="38">
        <f>SUM(BF10:BF11)</f>
        <v>3100000</v>
      </c>
      <c r="BG12" s="38">
        <f>SUM(BG10:BG11)</f>
        <v>3100000</v>
      </c>
      <c r="BH12" s="38">
        <f>SUM(BH10:BH11)</f>
        <v>3100000</v>
      </c>
      <c r="BI12" s="38">
        <f>SUM(BI10:BI11)</f>
        <v>3100000</v>
      </c>
      <c r="BJ12" s="38">
        <f>SUM(BJ10:BJ11)</f>
        <v>3100000</v>
      </c>
      <c r="BK12" s="38">
        <f>SUM(BK10:BK11)</f>
        <v>3100000</v>
      </c>
      <c r="BL12" s="38">
        <f>SUM(BL10:BL11)</f>
        <v>3100000</v>
      </c>
      <c r="BM12" s="38">
        <f>SUM(BM10:BM11)</f>
        <v>3100000</v>
      </c>
      <c r="BN12" s="38">
        <f>SUM(BN10:BN11)</f>
        <v>3100000</v>
      </c>
      <c r="BO12" s="38">
        <f>SUM(BO10:BO11)</f>
        <v>3100000</v>
      </c>
      <c r="BP12" s="38">
        <f>SUM(BP10:BP11)</f>
        <v>3100000</v>
      </c>
      <c r="BQ12" s="38">
        <f>SUM(BQ10:BQ11)</f>
        <v>3100000</v>
      </c>
      <c r="BR12" s="38">
        <f>SUM(BR10:BR11)</f>
        <v>3100000</v>
      </c>
      <c r="BS12" s="38">
        <f>SUM(BS10:BS11)</f>
        <v>3100000</v>
      </c>
      <c r="BT12" s="38">
        <f>SUM(BT10:BT11)</f>
        <v>3100000</v>
      </c>
      <c r="BU12" s="38">
        <f>SUM(BU10:BU11)</f>
        <v>3100000</v>
      </c>
      <c r="BV12" s="38">
        <f>SUM(BV10:BV11)</f>
        <v>3100000</v>
      </c>
      <c r="BW12" s="38">
        <f>SUM(BW10:BW11)</f>
        <v>3100000</v>
      </c>
      <c r="BX12" s="38">
        <f>SUM(BX10:BX11)</f>
        <v>3100000</v>
      </c>
      <c r="BY12" s="38">
        <f>SUM(BY10:BY11)</f>
        <v>3100000</v>
      </c>
      <c r="BZ12" s="38">
        <f>SUM(BZ10:BZ11)</f>
        <v>3100000</v>
      </c>
      <c r="CA12" s="38">
        <f>SUM(CA10:CA11)</f>
        <v>3100000</v>
      </c>
      <c r="CB12" s="38">
        <f>SUM(CB10:CB11)</f>
        <v>3100000</v>
      </c>
      <c r="CC12" s="38">
        <f>SUM(CC10:CC11)</f>
        <v>3100000</v>
      </c>
      <c r="CD12" s="38">
        <f>SUM(CD10:CD11)</f>
        <v>3100000</v>
      </c>
      <c r="CE12" s="38">
        <f>SUM(CE10:CE11)</f>
        <v>3100000</v>
      </c>
      <c r="CF12" s="38">
        <f>SUM(CF10:CF11)</f>
        <v>3100000</v>
      </c>
      <c r="CG12" s="38">
        <f>SUM(CG10:CG11)</f>
        <v>3100000</v>
      </c>
      <c r="CH12" s="38">
        <f>SUM(CH10:CH11)</f>
        <v>3100000</v>
      </c>
      <c r="CI12" s="38">
        <f>SUM(CI10:CI11)</f>
        <v>3100000</v>
      </c>
      <c r="CJ12" s="38">
        <f>SUM(CJ10:CJ11)</f>
        <v>3100000</v>
      </c>
      <c r="CK12" s="38">
        <f>SUM(CK10:CK11)</f>
        <v>3100000</v>
      </c>
      <c r="CL12" s="38">
        <f>SUM(CL10:CL11)</f>
        <v>3100000</v>
      </c>
      <c r="CM12" s="38">
        <f>SUM(CM10:CM11)</f>
        <v>3100000</v>
      </c>
      <c r="CN12" s="38">
        <f>SUM(CN10:CN11)</f>
        <v>3100000</v>
      </c>
      <c r="CO12" s="38">
        <f>SUM(CO10:CO11)</f>
        <v>3100000</v>
      </c>
      <c r="CP12" s="38">
        <f>SUM(CP10:CP11)</f>
        <v>3100000</v>
      </c>
      <c r="CQ12" s="38">
        <f>SUM(CQ10:CQ11)</f>
        <v>1100000</v>
      </c>
      <c r="CR12" s="38">
        <f>SUM(CR10:CR11)</f>
        <v>0</v>
      </c>
      <c r="CS12" s="38">
        <f>SUM(CS10:CS11)</f>
        <v>2751093.1999999881</v>
      </c>
      <c r="CT12" s="38"/>
      <c r="CU12" s="38">
        <f>SUM(B12:CS12)</f>
        <v>268551093.19999999</v>
      </c>
    </row>
    <row r="13" spans="1:99">
      <c r="A13" s="15"/>
      <c r="B13" s="37"/>
      <c r="C13" s="37"/>
      <c r="D13" s="37"/>
      <c r="E13" s="37"/>
      <c r="F13" s="37"/>
      <c r="G13" s="37"/>
      <c r="H13" s="37"/>
      <c r="I13" s="37"/>
      <c r="J13" s="11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2"/>
      <c r="AB13" s="37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CU13" s="38"/>
    </row>
    <row r="14" spans="1:99">
      <c r="A14" s="15" t="s">
        <v>35</v>
      </c>
      <c r="B14" s="37"/>
      <c r="C14" s="37"/>
      <c r="D14" s="37"/>
      <c r="E14" s="37"/>
      <c r="F14" s="37"/>
      <c r="G14" s="37"/>
      <c r="H14" s="37"/>
      <c r="I14" s="37"/>
      <c r="J14" s="11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9"/>
      <c r="AK14" s="39"/>
      <c r="AL14" s="39"/>
      <c r="AM14" s="39"/>
      <c r="AN14" s="39"/>
      <c r="AO14" s="39"/>
      <c r="AP14" s="39"/>
      <c r="AQ14" s="39"/>
      <c r="AR14" s="39"/>
      <c r="CU14" s="35">
        <f>SUM(B14:CS14)</f>
        <v>0</v>
      </c>
    </row>
    <row r="15" spans="1:99">
      <c r="A15" s="13"/>
      <c r="B15" s="12"/>
      <c r="C15" s="12"/>
      <c r="D15" s="12"/>
      <c r="E15" s="12"/>
      <c r="F15" s="12"/>
      <c r="G15" s="12"/>
      <c r="H15" s="12"/>
      <c r="I15" s="12"/>
      <c r="J15" s="11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 s="12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CU15" s="38"/>
    </row>
    <row r="16" spans="1:99">
      <c r="A16" s="13" t="s">
        <v>16</v>
      </c>
      <c r="B16" s="12"/>
      <c r="C16" s="12"/>
      <c r="D16" s="12"/>
      <c r="E16" s="12"/>
      <c r="F16" s="12"/>
      <c r="G16" s="12"/>
      <c r="H16" s="12"/>
      <c r="I16" s="12"/>
      <c r="J16" s="1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B16" s="12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CS16" s="92"/>
      <c r="CU16" s="38"/>
    </row>
    <row r="17" spans="1:100" s="37" customFormat="1" ht="12">
      <c r="A17" s="107" t="s">
        <v>72</v>
      </c>
      <c r="B17" s="79">
        <f>principal!E15</f>
        <v>4500000</v>
      </c>
      <c r="J17" s="117"/>
      <c r="AA17" s="38"/>
      <c r="AL17" s="79"/>
      <c r="AX17" s="88"/>
      <c r="BJ17" s="88"/>
      <c r="CS17" s="41"/>
      <c r="CU17" s="38">
        <f t="shared" ref="CU17" si="7">SUM(B17:CS17)</f>
        <v>4500000</v>
      </c>
    </row>
    <row r="18" spans="1:100">
      <c r="A18" s="15" t="s">
        <v>71</v>
      </c>
      <c r="B18" s="88"/>
      <c r="C18" s="37"/>
      <c r="D18" s="37"/>
      <c r="E18" s="37"/>
      <c r="F18" s="37"/>
      <c r="G18" s="37">
        <v>3000000</v>
      </c>
      <c r="H18" s="37"/>
      <c r="I18" s="37"/>
      <c r="J18" s="117"/>
      <c r="K18" s="37"/>
      <c r="L18" s="37">
        <v>1130000</v>
      </c>
      <c r="M18" s="37">
        <f>L18</f>
        <v>1130000</v>
      </c>
      <c r="N18" s="37">
        <f t="shared" ref="N18:BY18" si="8">M18</f>
        <v>1130000</v>
      </c>
      <c r="O18" s="37">
        <f t="shared" si="8"/>
        <v>1130000</v>
      </c>
      <c r="P18" s="37">
        <f t="shared" si="8"/>
        <v>1130000</v>
      </c>
      <c r="Q18" s="37">
        <f t="shared" si="8"/>
        <v>1130000</v>
      </c>
      <c r="R18" s="37">
        <f t="shared" si="8"/>
        <v>1130000</v>
      </c>
      <c r="S18" s="37">
        <f t="shared" si="8"/>
        <v>1130000</v>
      </c>
      <c r="T18" s="37">
        <f t="shared" si="8"/>
        <v>1130000</v>
      </c>
      <c r="U18" s="37">
        <f t="shared" si="8"/>
        <v>1130000</v>
      </c>
      <c r="V18" s="37">
        <f t="shared" si="8"/>
        <v>1130000</v>
      </c>
      <c r="W18" s="37">
        <f t="shared" si="8"/>
        <v>1130000</v>
      </c>
      <c r="X18" s="37">
        <f t="shared" si="8"/>
        <v>1130000</v>
      </c>
      <c r="Y18" s="37">
        <f t="shared" si="8"/>
        <v>1130000</v>
      </c>
      <c r="Z18" s="37">
        <f t="shared" si="8"/>
        <v>1130000</v>
      </c>
      <c r="AA18" s="37">
        <f t="shared" si="8"/>
        <v>1130000</v>
      </c>
      <c r="AB18" s="37">
        <f t="shared" si="8"/>
        <v>1130000</v>
      </c>
      <c r="AC18" s="37">
        <f t="shared" si="8"/>
        <v>1130000</v>
      </c>
      <c r="AD18" s="37">
        <f t="shared" si="8"/>
        <v>1130000</v>
      </c>
      <c r="AE18" s="37">
        <f t="shared" si="8"/>
        <v>1130000</v>
      </c>
      <c r="AF18" s="37">
        <f t="shared" si="8"/>
        <v>1130000</v>
      </c>
      <c r="AG18" s="37">
        <f t="shared" si="8"/>
        <v>1130000</v>
      </c>
      <c r="AH18" s="37">
        <f t="shared" si="8"/>
        <v>1130000</v>
      </c>
      <c r="AI18" s="37">
        <f t="shared" si="8"/>
        <v>1130000</v>
      </c>
      <c r="AJ18" s="37">
        <f t="shared" si="8"/>
        <v>1130000</v>
      </c>
      <c r="AK18" s="37">
        <f t="shared" si="8"/>
        <v>1130000</v>
      </c>
      <c r="AL18" s="37">
        <f t="shared" si="8"/>
        <v>1130000</v>
      </c>
      <c r="AM18" s="37">
        <f t="shared" si="8"/>
        <v>1130000</v>
      </c>
      <c r="AN18" s="37">
        <f t="shared" si="8"/>
        <v>1130000</v>
      </c>
      <c r="AO18" s="37">
        <f t="shared" si="8"/>
        <v>1130000</v>
      </c>
      <c r="AP18" s="37">
        <f t="shared" si="8"/>
        <v>1130000</v>
      </c>
      <c r="AQ18" s="37">
        <f t="shared" si="8"/>
        <v>1130000</v>
      </c>
      <c r="AR18" s="37">
        <f t="shared" si="8"/>
        <v>1130000</v>
      </c>
      <c r="AS18" s="37">
        <f t="shared" si="8"/>
        <v>1130000</v>
      </c>
      <c r="AT18" s="37">
        <f t="shared" si="8"/>
        <v>1130000</v>
      </c>
      <c r="AU18" s="37">
        <f t="shared" si="8"/>
        <v>1130000</v>
      </c>
      <c r="AV18" s="37">
        <f t="shared" si="8"/>
        <v>1130000</v>
      </c>
      <c r="AW18" s="37">
        <f t="shared" si="8"/>
        <v>1130000</v>
      </c>
      <c r="AX18" s="37">
        <f t="shared" si="8"/>
        <v>1130000</v>
      </c>
      <c r="AY18" s="37">
        <f t="shared" si="8"/>
        <v>1130000</v>
      </c>
      <c r="AZ18" s="37">
        <f t="shared" si="8"/>
        <v>1130000</v>
      </c>
      <c r="BA18" s="37">
        <f t="shared" si="8"/>
        <v>1130000</v>
      </c>
      <c r="BB18" s="37">
        <f t="shared" si="8"/>
        <v>1130000</v>
      </c>
      <c r="BC18" s="37">
        <f t="shared" si="8"/>
        <v>1130000</v>
      </c>
      <c r="BD18" s="37">
        <f t="shared" si="8"/>
        <v>1130000</v>
      </c>
      <c r="BE18" s="37">
        <f t="shared" si="8"/>
        <v>1130000</v>
      </c>
      <c r="BF18" s="37">
        <f t="shared" si="8"/>
        <v>1130000</v>
      </c>
      <c r="BG18" s="37">
        <f t="shared" si="8"/>
        <v>1130000</v>
      </c>
      <c r="BH18" s="37">
        <f t="shared" si="8"/>
        <v>1130000</v>
      </c>
      <c r="BI18" s="37">
        <f t="shared" si="8"/>
        <v>1130000</v>
      </c>
      <c r="BJ18" s="37">
        <f t="shared" si="8"/>
        <v>1130000</v>
      </c>
      <c r="BK18" s="37">
        <f t="shared" si="8"/>
        <v>1130000</v>
      </c>
      <c r="BL18" s="37">
        <f t="shared" si="8"/>
        <v>1130000</v>
      </c>
      <c r="BM18" s="37">
        <f t="shared" si="8"/>
        <v>1130000</v>
      </c>
      <c r="BN18" s="37">
        <f t="shared" si="8"/>
        <v>1130000</v>
      </c>
      <c r="BO18" s="37">
        <f t="shared" si="8"/>
        <v>1130000</v>
      </c>
      <c r="BP18" s="37">
        <f t="shared" si="8"/>
        <v>1130000</v>
      </c>
      <c r="BQ18" s="37">
        <f t="shared" si="8"/>
        <v>1130000</v>
      </c>
      <c r="BR18" s="37">
        <f t="shared" si="8"/>
        <v>1130000</v>
      </c>
      <c r="BS18" s="37">
        <f t="shared" si="8"/>
        <v>1130000</v>
      </c>
      <c r="BT18" s="37">
        <f t="shared" si="8"/>
        <v>1130000</v>
      </c>
      <c r="BU18" s="37">
        <f t="shared" si="8"/>
        <v>1130000</v>
      </c>
      <c r="BV18" s="37">
        <f t="shared" si="8"/>
        <v>1130000</v>
      </c>
      <c r="BW18" s="37">
        <f t="shared" si="8"/>
        <v>1130000</v>
      </c>
      <c r="BX18" s="37">
        <f t="shared" si="8"/>
        <v>1130000</v>
      </c>
      <c r="BY18" s="37">
        <f t="shared" si="8"/>
        <v>1130000</v>
      </c>
      <c r="BZ18" s="37">
        <f t="shared" ref="BZ18:CQ18" si="9">BY18</f>
        <v>1130000</v>
      </c>
      <c r="CA18" s="37">
        <f t="shared" si="9"/>
        <v>1130000</v>
      </c>
      <c r="CB18" s="37">
        <f t="shared" si="9"/>
        <v>1130000</v>
      </c>
      <c r="CC18" s="37">
        <f t="shared" si="9"/>
        <v>1130000</v>
      </c>
      <c r="CD18" s="37">
        <f t="shared" si="9"/>
        <v>1130000</v>
      </c>
      <c r="CE18" s="37">
        <f t="shared" si="9"/>
        <v>1130000</v>
      </c>
      <c r="CF18" s="37">
        <f t="shared" si="9"/>
        <v>1130000</v>
      </c>
      <c r="CG18" s="37">
        <f t="shared" si="9"/>
        <v>1130000</v>
      </c>
      <c r="CH18" s="37">
        <f t="shared" si="9"/>
        <v>1130000</v>
      </c>
      <c r="CI18" s="37">
        <f t="shared" si="9"/>
        <v>1130000</v>
      </c>
      <c r="CJ18" s="37">
        <f t="shared" si="9"/>
        <v>1130000</v>
      </c>
      <c r="CK18" s="37">
        <f t="shared" si="9"/>
        <v>1130000</v>
      </c>
      <c r="CL18" s="37">
        <f t="shared" si="9"/>
        <v>1130000</v>
      </c>
      <c r="CM18" s="37">
        <f t="shared" si="9"/>
        <v>1130000</v>
      </c>
      <c r="CN18" s="37">
        <f t="shared" si="9"/>
        <v>1130000</v>
      </c>
      <c r="CO18" s="37">
        <f t="shared" si="9"/>
        <v>1130000</v>
      </c>
      <c r="CP18" s="37">
        <f t="shared" si="9"/>
        <v>1130000</v>
      </c>
      <c r="CQ18" s="37">
        <f t="shared" si="9"/>
        <v>1130000</v>
      </c>
      <c r="CR18" s="37"/>
      <c r="CS18" s="89">
        <f>principal!E26-SUM(factibilidad!B18:CR18)</f>
        <v>-232400</v>
      </c>
      <c r="CU18" s="38">
        <f>SUM(B18:CS18)</f>
        <v>97687600</v>
      </c>
    </row>
    <row r="19" spans="1:100">
      <c r="A19" s="15"/>
      <c r="B19" s="37"/>
      <c r="C19" s="37"/>
      <c r="D19" s="37"/>
      <c r="E19" s="37"/>
      <c r="F19" s="37"/>
      <c r="G19" s="37"/>
      <c r="H19" s="37"/>
      <c r="I19" s="37"/>
      <c r="J19" s="11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12"/>
      <c r="AB19" s="37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CS19" s="92"/>
      <c r="CU19" s="38"/>
    </row>
    <row r="20" spans="1:100" s="26" customFormat="1">
      <c r="A20" s="107" t="s">
        <v>33</v>
      </c>
      <c r="B20" s="37"/>
      <c r="C20" s="37"/>
      <c r="D20" s="37"/>
      <c r="E20" s="37"/>
      <c r="F20" s="37"/>
      <c r="G20" s="37"/>
      <c r="H20" s="37"/>
      <c r="I20" s="37"/>
      <c r="J20" s="117"/>
      <c r="K20" s="37"/>
      <c r="L20" s="37">
        <f>principal!F30</f>
        <v>2500000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2"/>
      <c r="AB20" s="37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CU20" s="38">
        <f>SUM(B20:CS20)</f>
        <v>2500000</v>
      </c>
    </row>
    <row r="21" spans="1:100" s="26" customFormat="1">
      <c r="A21" s="107" t="s">
        <v>141</v>
      </c>
      <c r="B21" s="37"/>
      <c r="C21" s="37"/>
      <c r="D21" s="37"/>
      <c r="E21" s="37"/>
      <c r="F21" s="37"/>
      <c r="G21" s="37"/>
      <c r="H21" s="37"/>
      <c r="I21" s="37"/>
      <c r="J21" s="117"/>
      <c r="K21" s="37"/>
      <c r="L21" s="37"/>
      <c r="M21" s="37"/>
      <c r="N21" s="172">
        <v>5000000</v>
      </c>
      <c r="O21" s="37"/>
      <c r="P21" s="37">
        <v>5000000</v>
      </c>
      <c r="Q21" s="37"/>
      <c r="R21" s="37">
        <v>5000000</v>
      </c>
      <c r="S21" s="37"/>
      <c r="T21" s="37">
        <v>5000000</v>
      </c>
      <c r="U21" s="37"/>
      <c r="V21" s="37">
        <v>1000000</v>
      </c>
      <c r="W21" s="37"/>
      <c r="X21" s="37"/>
      <c r="Y21" s="37"/>
      <c r="Z21" s="37"/>
      <c r="AA21" s="2"/>
      <c r="AB21" s="3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CU21" s="38">
        <f>SUM(B21:CS21)</f>
        <v>21000000</v>
      </c>
    </row>
    <row r="22" spans="1:100">
      <c r="A22" s="15" t="s">
        <v>43</v>
      </c>
      <c r="B22" s="37">
        <f>principal!$B$35*B12</f>
        <v>0</v>
      </c>
      <c r="C22" s="37">
        <f>principal!$B$35*C12</f>
        <v>0</v>
      </c>
      <c r="D22" s="37">
        <f>principal!$B$35*D12</f>
        <v>0</v>
      </c>
      <c r="E22" s="37">
        <f>principal!$B$35*E12</f>
        <v>0</v>
      </c>
      <c r="F22" s="37">
        <f>principal!$B$35*F12</f>
        <v>0</v>
      </c>
      <c r="G22" s="37">
        <f>principal!$B$35*G12</f>
        <v>315000.00000000006</v>
      </c>
      <c r="H22" s="37">
        <f>principal!$B$35*H12</f>
        <v>0</v>
      </c>
      <c r="I22" s="37">
        <f>principal!$B$35*I12</f>
        <v>0</v>
      </c>
      <c r="J22" s="117">
        <f>principal!$B$35*J12</f>
        <v>0</v>
      </c>
      <c r="K22" s="37">
        <f>principal!$B$35*K12</f>
        <v>210000.00000000003</v>
      </c>
      <c r="L22" s="37">
        <f>principal!$B$35*L12</f>
        <v>210000.00000000003</v>
      </c>
      <c r="M22" s="37">
        <f>principal!$B$35*M12</f>
        <v>217000.00000000003</v>
      </c>
      <c r="N22" s="37">
        <f>principal!$B$35*N12</f>
        <v>217000.00000000003</v>
      </c>
      <c r="O22" s="37">
        <f>principal!$B$35*O12</f>
        <v>217000.00000000003</v>
      </c>
      <c r="P22" s="37">
        <f>principal!$B$35*P12</f>
        <v>217000.00000000003</v>
      </c>
      <c r="Q22" s="37">
        <f>principal!$B$35*Q12</f>
        <v>217000.00000000003</v>
      </c>
      <c r="R22" s="37">
        <f>principal!$B$35*R12</f>
        <v>217000.00000000003</v>
      </c>
      <c r="S22" s="37">
        <f>principal!$B$35*S12</f>
        <v>217000.00000000003</v>
      </c>
      <c r="T22" s="37">
        <f>principal!$B$35*T12</f>
        <v>217000.00000000003</v>
      </c>
      <c r="U22" s="37">
        <f>principal!$B$35*U12</f>
        <v>217000.00000000003</v>
      </c>
      <c r="V22" s="37">
        <f>principal!$B$35*V12</f>
        <v>217000.00000000003</v>
      </c>
      <c r="W22" s="37">
        <f>principal!$B$35*W12</f>
        <v>217000.00000000003</v>
      </c>
      <c r="X22" s="37">
        <f>principal!$B$35*X12</f>
        <v>217000.00000000003</v>
      </c>
      <c r="Y22" s="37">
        <f>principal!$B$35*Y12</f>
        <v>217000.00000000003</v>
      </c>
      <c r="Z22" s="37">
        <f>principal!$B$35*Z12</f>
        <v>217000.00000000003</v>
      </c>
      <c r="AA22" s="37">
        <f>principal!$B$35*AA12</f>
        <v>217000.00000000003</v>
      </c>
      <c r="AB22" s="37">
        <f>principal!$B$35*AB12</f>
        <v>217000.00000000003</v>
      </c>
      <c r="AC22" s="37">
        <f>principal!$B$35*AC12</f>
        <v>217000.00000000003</v>
      </c>
      <c r="AD22" s="37">
        <f>principal!$B$35*AD12</f>
        <v>217000.00000000003</v>
      </c>
      <c r="AE22" s="37">
        <f>principal!$B$35*AE12</f>
        <v>217000.00000000003</v>
      </c>
      <c r="AF22" s="37">
        <f>principal!$B$35*AF12</f>
        <v>217000.00000000003</v>
      </c>
      <c r="AG22" s="37">
        <f>principal!$B$35*AG12</f>
        <v>217000.00000000003</v>
      </c>
      <c r="AH22" s="37">
        <f>principal!$B$35*AH12</f>
        <v>217000.00000000003</v>
      </c>
      <c r="AI22" s="37">
        <f>principal!$B$35*AI12</f>
        <v>217000.00000000003</v>
      </c>
      <c r="AJ22" s="37">
        <f>principal!$B$35*AJ12</f>
        <v>217000.00000000003</v>
      </c>
      <c r="AK22" s="37">
        <f>principal!$B$35*AK12</f>
        <v>217000.00000000003</v>
      </c>
      <c r="AL22" s="37">
        <f>principal!$B$35*AL12</f>
        <v>217000.00000000003</v>
      </c>
      <c r="AM22" s="37">
        <f>principal!$B$35*AM12</f>
        <v>217000.00000000003</v>
      </c>
      <c r="AN22" s="37">
        <f>principal!$B$35*AN12</f>
        <v>217000.00000000003</v>
      </c>
      <c r="AO22" s="37">
        <f>principal!$B$35*AO12</f>
        <v>217000.00000000003</v>
      </c>
      <c r="AP22" s="37">
        <f>principal!$B$35*AP12</f>
        <v>217000.00000000003</v>
      </c>
      <c r="AQ22" s="37">
        <f>principal!$B$35*AQ12</f>
        <v>217000.00000000003</v>
      </c>
      <c r="AR22" s="37">
        <f>principal!$B$35*AR12</f>
        <v>217000.00000000003</v>
      </c>
      <c r="AS22" s="37">
        <f>principal!$B$35*AS12</f>
        <v>217000.00000000003</v>
      </c>
      <c r="AT22" s="37">
        <f>principal!$B$35*AT12</f>
        <v>217000.00000000003</v>
      </c>
      <c r="AU22" s="37">
        <f>principal!$B$35*AU12</f>
        <v>217000.00000000003</v>
      </c>
      <c r="AV22" s="37">
        <f>principal!$B$35*AV12</f>
        <v>217000.00000000003</v>
      </c>
      <c r="AW22" s="37">
        <f>principal!$B$35*AW12</f>
        <v>217000.00000000003</v>
      </c>
      <c r="AX22" s="37">
        <f>principal!$B$35*AX12</f>
        <v>217000.00000000003</v>
      </c>
      <c r="AY22" s="37">
        <f>principal!$B$35*AY12</f>
        <v>217000.00000000003</v>
      </c>
      <c r="AZ22" s="37">
        <f>principal!$B$35*AZ12</f>
        <v>217000.00000000003</v>
      </c>
      <c r="BA22" s="37">
        <f>principal!$B$35*BA12</f>
        <v>217000.00000000003</v>
      </c>
      <c r="BB22" s="37">
        <f>principal!$B$35*BB12</f>
        <v>217000.00000000003</v>
      </c>
      <c r="BC22" s="37">
        <f>principal!$B$35*BC12</f>
        <v>217000.00000000003</v>
      </c>
      <c r="BD22" s="37">
        <f>principal!$B$35*BD12</f>
        <v>217000.00000000003</v>
      </c>
      <c r="BE22" s="37">
        <f>principal!$B$35*BE12</f>
        <v>217000.00000000003</v>
      </c>
      <c r="BF22" s="37">
        <f>principal!$B$35*BF12</f>
        <v>217000.00000000003</v>
      </c>
      <c r="BG22" s="37">
        <f>principal!$B$35*BG12</f>
        <v>217000.00000000003</v>
      </c>
      <c r="BH22" s="37">
        <f>principal!$B$35*BH12</f>
        <v>217000.00000000003</v>
      </c>
      <c r="BI22" s="37">
        <f>principal!$B$35*BI12</f>
        <v>217000.00000000003</v>
      </c>
      <c r="BJ22" s="37">
        <f>principal!$B$35*BJ12</f>
        <v>217000.00000000003</v>
      </c>
      <c r="BK22" s="37">
        <f>principal!$B$35*BK12</f>
        <v>217000.00000000003</v>
      </c>
      <c r="BL22" s="37">
        <f>principal!$B$35*BL12</f>
        <v>217000.00000000003</v>
      </c>
      <c r="BM22" s="37">
        <f>principal!$B$35*BM12</f>
        <v>217000.00000000003</v>
      </c>
      <c r="BN22" s="37">
        <f>principal!$B$35*BN12</f>
        <v>217000.00000000003</v>
      </c>
      <c r="BO22" s="37">
        <f>principal!$B$35*BO12</f>
        <v>217000.00000000003</v>
      </c>
      <c r="BP22" s="37">
        <f>principal!$B$35*BP12</f>
        <v>217000.00000000003</v>
      </c>
      <c r="BQ22" s="37">
        <f>principal!$B$35*BQ12</f>
        <v>217000.00000000003</v>
      </c>
      <c r="BR22" s="37">
        <f>principal!$B$35*BR12</f>
        <v>217000.00000000003</v>
      </c>
      <c r="BS22" s="37">
        <f>principal!$B$35*BS12</f>
        <v>217000.00000000003</v>
      </c>
      <c r="BT22" s="37">
        <f>principal!$B$35*BT12</f>
        <v>217000.00000000003</v>
      </c>
      <c r="BU22" s="37">
        <f>principal!$B$35*BU12</f>
        <v>217000.00000000003</v>
      </c>
      <c r="BV22" s="37">
        <f>principal!$B$35*BV12</f>
        <v>217000.00000000003</v>
      </c>
      <c r="BW22" s="37">
        <f>principal!$B$35*BW12</f>
        <v>217000.00000000003</v>
      </c>
      <c r="BX22" s="37">
        <f>principal!$B$35*BX12</f>
        <v>217000.00000000003</v>
      </c>
      <c r="BY22" s="37">
        <f>principal!$B$35*BY12</f>
        <v>217000.00000000003</v>
      </c>
      <c r="BZ22" s="37">
        <f>principal!$B$35*BZ12</f>
        <v>217000.00000000003</v>
      </c>
      <c r="CA22" s="37">
        <f>principal!$B$35*CA12</f>
        <v>217000.00000000003</v>
      </c>
      <c r="CB22" s="37">
        <f>principal!$B$35*CB12</f>
        <v>217000.00000000003</v>
      </c>
      <c r="CC22" s="37">
        <f>principal!$B$35*CC12</f>
        <v>217000.00000000003</v>
      </c>
      <c r="CD22" s="37">
        <f>principal!$B$35*CD12</f>
        <v>217000.00000000003</v>
      </c>
      <c r="CE22" s="37">
        <f>principal!$B$35*CE12</f>
        <v>217000.00000000003</v>
      </c>
      <c r="CF22" s="37">
        <f>principal!$B$35*CF12</f>
        <v>217000.00000000003</v>
      </c>
      <c r="CG22" s="37">
        <f>principal!$B$35*CG12</f>
        <v>217000.00000000003</v>
      </c>
      <c r="CH22" s="37">
        <f>principal!$B$35*CH12</f>
        <v>217000.00000000003</v>
      </c>
      <c r="CI22" s="37">
        <f>principal!$B$35*CI12</f>
        <v>217000.00000000003</v>
      </c>
      <c r="CJ22" s="37">
        <f>principal!$B$35*CJ12</f>
        <v>217000.00000000003</v>
      </c>
      <c r="CK22" s="37">
        <f>principal!$B$35*CK12</f>
        <v>217000.00000000003</v>
      </c>
      <c r="CL22" s="37">
        <f>principal!$B$35*CL12</f>
        <v>217000.00000000003</v>
      </c>
      <c r="CM22" s="37">
        <f>principal!$B$35*CM12</f>
        <v>217000.00000000003</v>
      </c>
      <c r="CN22" s="37">
        <f>principal!$B$35*CN12</f>
        <v>217000.00000000003</v>
      </c>
      <c r="CO22" s="37">
        <f>principal!$B$35*CO12</f>
        <v>217000.00000000003</v>
      </c>
      <c r="CP22" s="37">
        <f>principal!$B$35*CP12</f>
        <v>217000.00000000003</v>
      </c>
      <c r="CQ22" s="37">
        <f>principal!$B$35*CQ12</f>
        <v>77000.000000000015</v>
      </c>
      <c r="CR22" s="37">
        <f>principal!$B$35*CR12</f>
        <v>0</v>
      </c>
      <c r="CS22" s="37">
        <f>principal!$B$35*CS12</f>
        <v>192576.52399999919</v>
      </c>
      <c r="CU22" s="38">
        <f>SUM(B22:CS22)</f>
        <v>18798576.524000004</v>
      </c>
    </row>
    <row r="23" spans="1:100">
      <c r="A23" s="15" t="s">
        <v>32</v>
      </c>
      <c r="B23" s="37">
        <f>principal!E39/3</f>
        <v>1888626.9333333336</v>
      </c>
      <c r="C23" s="37"/>
      <c r="D23" s="37"/>
      <c r="E23" s="40"/>
      <c r="F23" s="12"/>
      <c r="G23" s="12"/>
      <c r="H23" s="12"/>
      <c r="I23" s="12"/>
      <c r="J23" s="119"/>
      <c r="K23" s="37"/>
      <c r="L23" s="12"/>
      <c r="M23" s="37">
        <f>B23</f>
        <v>1888626.9333333336</v>
      </c>
      <c r="N23" s="12"/>
      <c r="O23" s="12"/>
      <c r="P23" s="12"/>
      <c r="Q23" s="12"/>
      <c r="R23" s="12"/>
      <c r="S23" s="37">
        <f>B23</f>
        <v>1888626.9333333336</v>
      </c>
      <c r="T23" s="12"/>
      <c r="U23" s="12"/>
      <c r="V23" s="12"/>
      <c r="W23" s="12"/>
      <c r="X23" s="12"/>
      <c r="Y23" s="12"/>
      <c r="Z23" s="12"/>
      <c r="AB23" s="12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CU23" s="38">
        <f>SUM(B23:CS23)</f>
        <v>5665880.8000000007</v>
      </c>
    </row>
    <row r="24" spans="1:100">
      <c r="A24" s="15" t="s">
        <v>56</v>
      </c>
      <c r="B24" s="37">
        <f>principal!B38*SUM(B18:B18)</f>
        <v>0</v>
      </c>
      <c r="C24" s="37">
        <f>principal!B38*C18</f>
        <v>0</v>
      </c>
      <c r="D24" s="37">
        <f>principal!B38*D18</f>
        <v>0</v>
      </c>
      <c r="E24" s="37">
        <f>principal!B38*E18</f>
        <v>0</v>
      </c>
      <c r="F24" s="37">
        <f>principal!B38*F18</f>
        <v>0</v>
      </c>
      <c r="G24" s="37">
        <f>principal!B38*G18</f>
        <v>525000</v>
      </c>
      <c r="H24" s="37">
        <f>principal!B38*H18</f>
        <v>0</v>
      </c>
      <c r="I24" s="37">
        <f>principal!B38*(I18)</f>
        <v>0</v>
      </c>
      <c r="J24" s="117">
        <f>principal!B38*J18</f>
        <v>0</v>
      </c>
      <c r="K24" s="37">
        <f>principal!B38*K18</f>
        <v>0</v>
      </c>
      <c r="L24" s="37">
        <f>principal!B38*L18</f>
        <v>197750</v>
      </c>
      <c r="M24" s="37">
        <f>principal!B38*M18</f>
        <v>197750</v>
      </c>
      <c r="N24" s="37">
        <f>principal!B38*N18</f>
        <v>197750</v>
      </c>
      <c r="O24" s="37">
        <f>principal!B38*O18</f>
        <v>197750</v>
      </c>
      <c r="P24" s="37">
        <f>principal!B38*P18</f>
        <v>197750</v>
      </c>
      <c r="Q24" s="37">
        <f>principal!B38*Q18</f>
        <v>197750</v>
      </c>
      <c r="R24" s="37">
        <f>principal!B38*R18</f>
        <v>197750</v>
      </c>
      <c r="S24" s="37">
        <f>principal!B38*S18</f>
        <v>197750</v>
      </c>
      <c r="T24" s="37">
        <f>principal!B38*T18</f>
        <v>197750</v>
      </c>
      <c r="U24" s="37">
        <f>principal!B38*U18</f>
        <v>197750</v>
      </c>
      <c r="V24" s="37">
        <f>principal!B38*V18</f>
        <v>197750</v>
      </c>
      <c r="W24" s="37">
        <f>principal!B38*W18</f>
        <v>197750</v>
      </c>
      <c r="X24" s="37">
        <f>principal!$B$38*X18</f>
        <v>197750</v>
      </c>
      <c r="Y24" s="37">
        <f>principal!$B$38*Y18</f>
        <v>197750</v>
      </c>
      <c r="Z24" s="37">
        <f>principal!$B$38*Z18</f>
        <v>197750</v>
      </c>
      <c r="AA24" s="37">
        <f>principal!$B$38*AA18</f>
        <v>197750</v>
      </c>
      <c r="AB24" s="37">
        <f>principal!$B$38*AB18</f>
        <v>197750</v>
      </c>
      <c r="AC24" s="37">
        <f>principal!$B$38*AC18</f>
        <v>197750</v>
      </c>
      <c r="AD24" s="37">
        <f>principal!$B$38*AD18</f>
        <v>197750</v>
      </c>
      <c r="AE24" s="37">
        <f>principal!$B$38*AE18</f>
        <v>197750</v>
      </c>
      <c r="AF24" s="37">
        <f>principal!$B$38*AF18</f>
        <v>197750</v>
      </c>
      <c r="AG24" s="37">
        <f>principal!$B$38*AG18</f>
        <v>197750</v>
      </c>
      <c r="AH24" s="37">
        <f>principal!$B$38*AH18</f>
        <v>197750</v>
      </c>
      <c r="AI24" s="37">
        <f>principal!$B$38*AI18</f>
        <v>197750</v>
      </c>
      <c r="AJ24" s="37">
        <f>principal!$B$38*AJ18</f>
        <v>197750</v>
      </c>
      <c r="AK24" s="37">
        <f>principal!$B$38*AK18</f>
        <v>197750</v>
      </c>
      <c r="AL24" s="37">
        <f>principal!$B$38*AL18</f>
        <v>197750</v>
      </c>
      <c r="AM24" s="37">
        <f>principal!$B$38*AM18</f>
        <v>197750</v>
      </c>
      <c r="AN24" s="37">
        <f>principal!$B$38*AN18</f>
        <v>197750</v>
      </c>
      <c r="AO24" s="37">
        <f>principal!$B$38*AO18</f>
        <v>197750</v>
      </c>
      <c r="AP24" s="37">
        <f>principal!$B$38*AP18</f>
        <v>197750</v>
      </c>
      <c r="AQ24" s="37">
        <f>principal!$B$38*AQ18</f>
        <v>197750</v>
      </c>
      <c r="AR24" s="37">
        <f>principal!$B$38*AR18</f>
        <v>197750</v>
      </c>
      <c r="AS24" s="37">
        <f>principal!$B$38*AS18</f>
        <v>197750</v>
      </c>
      <c r="AT24" s="37">
        <f>principal!$B$38*AT18</f>
        <v>197750</v>
      </c>
      <c r="AU24" s="37">
        <f>principal!$B$38*AU18</f>
        <v>197750</v>
      </c>
      <c r="AV24" s="37">
        <f>principal!$B$38*AV18</f>
        <v>197750</v>
      </c>
      <c r="AW24" s="37">
        <f>principal!$B$38*AW18</f>
        <v>197750</v>
      </c>
      <c r="AX24" s="37">
        <f>principal!$B$38*AX18</f>
        <v>197750</v>
      </c>
      <c r="AY24" s="37">
        <f>principal!$B$38*AY18</f>
        <v>197750</v>
      </c>
      <c r="AZ24" s="37">
        <f>principal!$B$38*AZ18</f>
        <v>197750</v>
      </c>
      <c r="BA24" s="37">
        <f>principal!$B$38*BA18</f>
        <v>197750</v>
      </c>
      <c r="BB24" s="37">
        <f>principal!$B$38*BB18</f>
        <v>197750</v>
      </c>
      <c r="BC24" s="37">
        <f>principal!$B$38*BC18</f>
        <v>197750</v>
      </c>
      <c r="BD24" s="37">
        <f>principal!$B$38*BD18</f>
        <v>197750</v>
      </c>
      <c r="BE24" s="37">
        <f>principal!$B$38*BE18</f>
        <v>197750</v>
      </c>
      <c r="BF24" s="37">
        <f>principal!$B$38*BF18</f>
        <v>197750</v>
      </c>
      <c r="BG24" s="37">
        <f>principal!$B$38*BG18</f>
        <v>197750</v>
      </c>
      <c r="BH24" s="37">
        <f>principal!$B$38*BH18</f>
        <v>197750</v>
      </c>
      <c r="BI24" s="37">
        <f>principal!$B$38*BI18</f>
        <v>197750</v>
      </c>
      <c r="BJ24" s="37">
        <f>principal!$B$38*BJ18</f>
        <v>197750</v>
      </c>
      <c r="BK24" s="37">
        <f>principal!$B$38*BK18</f>
        <v>197750</v>
      </c>
      <c r="BL24" s="37">
        <f>principal!$B$38*BL18</f>
        <v>197750</v>
      </c>
      <c r="BM24" s="37">
        <f>principal!$B$38*BM18</f>
        <v>197750</v>
      </c>
      <c r="BN24" s="37">
        <f>principal!$B$38*BN18</f>
        <v>197750</v>
      </c>
      <c r="BO24" s="37">
        <f>principal!$B$38*BO18</f>
        <v>197750</v>
      </c>
      <c r="BP24" s="37">
        <f>principal!$B$38*BP18</f>
        <v>197750</v>
      </c>
      <c r="BQ24" s="37">
        <f>principal!$B$38*BQ18</f>
        <v>197750</v>
      </c>
      <c r="BR24" s="37">
        <f>principal!$B$38*BR18</f>
        <v>197750</v>
      </c>
      <c r="BS24" s="37">
        <f>principal!$B$38*BS18</f>
        <v>197750</v>
      </c>
      <c r="BT24" s="37">
        <f>principal!$B$38*BT18</f>
        <v>197750</v>
      </c>
      <c r="BU24" s="37">
        <f>principal!$B$38*BU18</f>
        <v>197750</v>
      </c>
      <c r="BV24" s="37">
        <f>principal!$B$38*BV18</f>
        <v>197750</v>
      </c>
      <c r="BW24" s="37">
        <f>principal!$B$38*BW18</f>
        <v>197750</v>
      </c>
      <c r="BX24" s="37">
        <f>principal!$B$38*BX18</f>
        <v>197750</v>
      </c>
      <c r="BY24" s="37">
        <f>principal!$B$38*BY18</f>
        <v>197750</v>
      </c>
      <c r="BZ24" s="37">
        <f>principal!$B$38*BZ18</f>
        <v>197750</v>
      </c>
      <c r="CA24" s="37">
        <f>principal!$B$38*CA18</f>
        <v>197750</v>
      </c>
      <c r="CB24" s="37">
        <f>principal!$B$38*CB18</f>
        <v>197750</v>
      </c>
      <c r="CC24" s="37">
        <f>principal!$B$38*CC18</f>
        <v>197750</v>
      </c>
      <c r="CD24" s="37">
        <f>principal!$B$38*CD18</f>
        <v>197750</v>
      </c>
      <c r="CE24" s="37">
        <f>principal!$B$38*CE18</f>
        <v>197750</v>
      </c>
      <c r="CF24" s="37">
        <f>principal!$B$38*CF18</f>
        <v>197750</v>
      </c>
      <c r="CG24" s="37">
        <f>principal!$B$38*CG18</f>
        <v>197750</v>
      </c>
      <c r="CH24" s="37">
        <f>principal!$B$38*CH18</f>
        <v>197750</v>
      </c>
      <c r="CI24" s="37">
        <f>principal!$B$38*CI18</f>
        <v>197750</v>
      </c>
      <c r="CJ24" s="37">
        <f>principal!$B$38*CJ18</f>
        <v>197750</v>
      </c>
      <c r="CK24" s="37">
        <f>principal!$B$38*CK18</f>
        <v>197750</v>
      </c>
      <c r="CL24" s="37">
        <f>principal!$B$38*CL18</f>
        <v>197750</v>
      </c>
      <c r="CM24" s="37">
        <f>principal!$B$38*CM18</f>
        <v>197750</v>
      </c>
      <c r="CN24" s="37">
        <f>principal!$B$38*CN18</f>
        <v>197750</v>
      </c>
      <c r="CO24" s="37">
        <f>principal!$B$38*CO18</f>
        <v>197750</v>
      </c>
      <c r="CP24" s="37">
        <f>principal!$B$38*CP18</f>
        <v>197750</v>
      </c>
      <c r="CQ24" s="37">
        <f>principal!$B$38*CQ18</f>
        <v>197750</v>
      </c>
      <c r="CR24" s="37">
        <f>principal!$B$38*CR18</f>
        <v>0</v>
      </c>
      <c r="CS24" s="37">
        <f>principal!$B$38*CS18</f>
        <v>-40670</v>
      </c>
      <c r="CU24" s="38">
        <f>SUM(B24:CS24)</f>
        <v>17095330</v>
      </c>
    </row>
    <row r="25" spans="1:100">
      <c r="A25" s="29"/>
      <c r="B25" s="37"/>
      <c r="C25" s="37"/>
      <c r="D25" s="37"/>
      <c r="E25" s="37"/>
      <c r="F25" s="37"/>
      <c r="G25" s="37"/>
      <c r="H25" s="37"/>
      <c r="I25" s="37"/>
      <c r="J25" s="11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2"/>
      <c r="AB25" s="12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CV25" s="38">
        <f>SUM(CU17:CU24)</f>
        <v>167247387.324</v>
      </c>
    </row>
    <row r="26" spans="1:100" s="26" customFormat="1">
      <c r="A26" s="107" t="s">
        <v>37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2"/>
      <c r="J26" s="120"/>
      <c r="K26" s="42"/>
      <c r="L26" s="42"/>
      <c r="M26" s="42"/>
      <c r="N26" s="42"/>
      <c r="O26" s="42"/>
      <c r="P26" s="63"/>
      <c r="Q26" s="42"/>
      <c r="R26" s="42"/>
      <c r="S26" s="42"/>
      <c r="T26" s="42"/>
      <c r="U26" s="42"/>
      <c r="V26" s="42"/>
      <c r="W26" s="42"/>
      <c r="X26" s="42">
        <v>0</v>
      </c>
      <c r="Y26" s="42">
        <v>0</v>
      </c>
      <c r="Z26" s="37"/>
      <c r="AA26" s="2"/>
      <c r="AB26" s="37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CU26" s="38">
        <f t="shared" ref="CU26:CU46" si="10">SUM(B26:CS26)</f>
        <v>0</v>
      </c>
    </row>
    <row r="27" spans="1:100">
      <c r="A27" s="15" t="s">
        <v>46</v>
      </c>
      <c r="B27" s="41"/>
      <c r="C27" s="41"/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117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/>
      <c r="V27" s="41"/>
      <c r="W27" s="41">
        <v>0</v>
      </c>
      <c r="X27" s="41">
        <v>0</v>
      </c>
      <c r="Y27" s="41">
        <v>0</v>
      </c>
      <c r="Z27" s="37"/>
      <c r="AB27" s="12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CU27" s="38"/>
    </row>
    <row r="28" spans="1:100">
      <c r="A28" s="15"/>
      <c r="B28" s="12"/>
      <c r="C28" s="37"/>
      <c r="D28" s="37"/>
      <c r="E28" s="40"/>
      <c r="F28" s="12"/>
      <c r="G28" s="12"/>
      <c r="H28" s="12"/>
      <c r="I28" s="12"/>
      <c r="J28" s="1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12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CU28" s="38"/>
    </row>
    <row r="29" spans="1:100" s="1" customFormat="1">
      <c r="A29" s="43" t="s">
        <v>3</v>
      </c>
      <c r="B29" s="35">
        <f>(B12)-SUM(B17:B28)</f>
        <v>-6388626.9333333336</v>
      </c>
      <c r="C29" s="35">
        <f t="shared" ref="C29:BN29" si="11">(C12)-SUM(C17:C28)</f>
        <v>0</v>
      </c>
      <c r="D29" s="35">
        <f t="shared" si="11"/>
        <v>0</v>
      </c>
      <c r="E29" s="35">
        <f t="shared" si="11"/>
        <v>0</v>
      </c>
      <c r="F29" s="35">
        <f t="shared" si="11"/>
        <v>0</v>
      </c>
      <c r="G29" s="35">
        <f t="shared" si="11"/>
        <v>660000</v>
      </c>
      <c r="H29" s="35">
        <f t="shared" si="11"/>
        <v>0</v>
      </c>
      <c r="I29" s="35">
        <f t="shared" si="11"/>
        <v>0</v>
      </c>
      <c r="J29" s="35">
        <f t="shared" si="11"/>
        <v>0</v>
      </c>
      <c r="K29" s="35">
        <f t="shared" si="11"/>
        <v>2790000</v>
      </c>
      <c r="L29" s="35">
        <f t="shared" si="11"/>
        <v>-1037750</v>
      </c>
      <c r="M29" s="35">
        <f t="shared" si="11"/>
        <v>-333376.93333333358</v>
      </c>
      <c r="N29" s="35">
        <f t="shared" si="11"/>
        <v>-3444750</v>
      </c>
      <c r="O29" s="35">
        <f t="shared" si="11"/>
        <v>1555250</v>
      </c>
      <c r="P29" s="35">
        <f t="shared" si="11"/>
        <v>-3444750</v>
      </c>
      <c r="Q29" s="35">
        <f t="shared" si="11"/>
        <v>1555250</v>
      </c>
      <c r="R29" s="35">
        <f t="shared" si="11"/>
        <v>-3444750</v>
      </c>
      <c r="S29" s="35">
        <f t="shared" si="11"/>
        <v>-333376.93333333358</v>
      </c>
      <c r="T29" s="35">
        <f t="shared" si="11"/>
        <v>-3444750</v>
      </c>
      <c r="U29" s="35">
        <f t="shared" si="11"/>
        <v>1555250</v>
      </c>
      <c r="V29" s="35">
        <f t="shared" si="11"/>
        <v>555250</v>
      </c>
      <c r="W29" s="35">
        <f t="shared" si="11"/>
        <v>1555250</v>
      </c>
      <c r="X29" s="35">
        <f t="shared" si="11"/>
        <v>1555250</v>
      </c>
      <c r="Y29" s="35">
        <f t="shared" si="11"/>
        <v>1555250</v>
      </c>
      <c r="Z29" s="35">
        <f t="shared" si="11"/>
        <v>1555250</v>
      </c>
      <c r="AA29" s="35">
        <f t="shared" si="11"/>
        <v>1555250</v>
      </c>
      <c r="AB29" s="35">
        <f t="shared" si="11"/>
        <v>1555250</v>
      </c>
      <c r="AC29" s="35">
        <f t="shared" si="11"/>
        <v>1555250</v>
      </c>
      <c r="AD29" s="35">
        <f t="shared" si="11"/>
        <v>1555250</v>
      </c>
      <c r="AE29" s="35">
        <f t="shared" si="11"/>
        <v>1555250</v>
      </c>
      <c r="AF29" s="35">
        <f t="shared" si="11"/>
        <v>1555250</v>
      </c>
      <c r="AG29" s="35">
        <f t="shared" si="11"/>
        <v>1555250</v>
      </c>
      <c r="AH29" s="35">
        <f t="shared" si="11"/>
        <v>1555250</v>
      </c>
      <c r="AI29" s="35">
        <f t="shared" si="11"/>
        <v>1555250</v>
      </c>
      <c r="AJ29" s="35">
        <f t="shared" si="11"/>
        <v>1555250</v>
      </c>
      <c r="AK29" s="35">
        <f t="shared" si="11"/>
        <v>1555250</v>
      </c>
      <c r="AL29" s="35">
        <f t="shared" si="11"/>
        <v>1555250</v>
      </c>
      <c r="AM29" s="35">
        <f t="shared" si="11"/>
        <v>1555250</v>
      </c>
      <c r="AN29" s="35">
        <f t="shared" si="11"/>
        <v>1555250</v>
      </c>
      <c r="AO29" s="35">
        <f t="shared" si="11"/>
        <v>1555250</v>
      </c>
      <c r="AP29" s="35">
        <f t="shared" si="11"/>
        <v>1555250</v>
      </c>
      <c r="AQ29" s="35">
        <f t="shared" si="11"/>
        <v>1555250</v>
      </c>
      <c r="AR29" s="35">
        <f t="shared" si="11"/>
        <v>1555250</v>
      </c>
      <c r="AS29" s="35">
        <f t="shared" si="11"/>
        <v>1555250</v>
      </c>
      <c r="AT29" s="35">
        <f t="shared" si="11"/>
        <v>1555250</v>
      </c>
      <c r="AU29" s="35">
        <f t="shared" si="11"/>
        <v>1555250</v>
      </c>
      <c r="AV29" s="35">
        <f t="shared" si="11"/>
        <v>1555250</v>
      </c>
      <c r="AW29" s="35">
        <f t="shared" si="11"/>
        <v>1555250</v>
      </c>
      <c r="AX29" s="35">
        <f t="shared" si="11"/>
        <v>1555250</v>
      </c>
      <c r="AY29" s="35">
        <f t="shared" si="11"/>
        <v>1555250</v>
      </c>
      <c r="AZ29" s="35">
        <f t="shared" si="11"/>
        <v>1555250</v>
      </c>
      <c r="BA29" s="35">
        <f t="shared" si="11"/>
        <v>1555250</v>
      </c>
      <c r="BB29" s="35">
        <f t="shared" si="11"/>
        <v>1555250</v>
      </c>
      <c r="BC29" s="35">
        <f t="shared" si="11"/>
        <v>1555250</v>
      </c>
      <c r="BD29" s="35">
        <f t="shared" si="11"/>
        <v>1555250</v>
      </c>
      <c r="BE29" s="35">
        <f t="shared" si="11"/>
        <v>1555250</v>
      </c>
      <c r="BF29" s="35">
        <f t="shared" si="11"/>
        <v>1555250</v>
      </c>
      <c r="BG29" s="35">
        <f t="shared" si="11"/>
        <v>1555250</v>
      </c>
      <c r="BH29" s="35">
        <f t="shared" si="11"/>
        <v>1555250</v>
      </c>
      <c r="BI29" s="35">
        <f t="shared" si="11"/>
        <v>1555250</v>
      </c>
      <c r="BJ29" s="35">
        <f t="shared" si="11"/>
        <v>1555250</v>
      </c>
      <c r="BK29" s="35">
        <f t="shared" si="11"/>
        <v>1555250</v>
      </c>
      <c r="BL29" s="35">
        <f t="shared" si="11"/>
        <v>1555250</v>
      </c>
      <c r="BM29" s="35">
        <f t="shared" si="11"/>
        <v>1555250</v>
      </c>
      <c r="BN29" s="35">
        <f t="shared" si="11"/>
        <v>1555250</v>
      </c>
      <c r="BO29" s="35">
        <f t="shared" ref="BO29:CS29" si="12">(BO12)-SUM(BO17:BO28)</f>
        <v>1555250</v>
      </c>
      <c r="BP29" s="35">
        <f t="shared" si="12"/>
        <v>1555250</v>
      </c>
      <c r="BQ29" s="35">
        <f t="shared" si="12"/>
        <v>1555250</v>
      </c>
      <c r="BR29" s="35">
        <f t="shared" si="12"/>
        <v>1555250</v>
      </c>
      <c r="BS29" s="35">
        <f t="shared" si="12"/>
        <v>1555250</v>
      </c>
      <c r="BT29" s="35">
        <f t="shared" si="12"/>
        <v>1555250</v>
      </c>
      <c r="BU29" s="35">
        <f t="shared" si="12"/>
        <v>1555250</v>
      </c>
      <c r="BV29" s="35">
        <f t="shared" si="12"/>
        <v>1555250</v>
      </c>
      <c r="BW29" s="35">
        <f t="shared" si="12"/>
        <v>1555250</v>
      </c>
      <c r="BX29" s="35">
        <f t="shared" si="12"/>
        <v>1555250</v>
      </c>
      <c r="BY29" s="35">
        <f t="shared" si="12"/>
        <v>1555250</v>
      </c>
      <c r="BZ29" s="35">
        <f t="shared" si="12"/>
        <v>1555250</v>
      </c>
      <c r="CA29" s="35">
        <f t="shared" si="12"/>
        <v>1555250</v>
      </c>
      <c r="CB29" s="35">
        <f t="shared" si="12"/>
        <v>1555250</v>
      </c>
      <c r="CC29" s="35">
        <f t="shared" si="12"/>
        <v>1555250</v>
      </c>
      <c r="CD29" s="35">
        <f t="shared" si="12"/>
        <v>1555250</v>
      </c>
      <c r="CE29" s="35">
        <f t="shared" si="12"/>
        <v>1555250</v>
      </c>
      <c r="CF29" s="35">
        <f t="shared" si="12"/>
        <v>1555250</v>
      </c>
      <c r="CG29" s="35">
        <f t="shared" si="12"/>
        <v>1555250</v>
      </c>
      <c r="CH29" s="35">
        <f t="shared" si="12"/>
        <v>1555250</v>
      </c>
      <c r="CI29" s="35">
        <f t="shared" si="12"/>
        <v>1555250</v>
      </c>
      <c r="CJ29" s="35">
        <f t="shared" si="12"/>
        <v>1555250</v>
      </c>
      <c r="CK29" s="35">
        <f t="shared" si="12"/>
        <v>1555250</v>
      </c>
      <c r="CL29" s="35">
        <f t="shared" si="12"/>
        <v>1555250</v>
      </c>
      <c r="CM29" s="35">
        <f t="shared" si="12"/>
        <v>1555250</v>
      </c>
      <c r="CN29" s="35">
        <f t="shared" si="12"/>
        <v>1555250</v>
      </c>
      <c r="CO29" s="35">
        <f t="shared" si="12"/>
        <v>1555250</v>
      </c>
      <c r="CP29" s="35">
        <f t="shared" si="12"/>
        <v>1555250</v>
      </c>
      <c r="CQ29" s="35">
        <f t="shared" si="12"/>
        <v>-304750</v>
      </c>
      <c r="CR29" s="35">
        <f t="shared" si="12"/>
        <v>0</v>
      </c>
      <c r="CS29" s="35">
        <f t="shared" si="12"/>
        <v>2831586.6759999888</v>
      </c>
      <c r="CU29" s="38"/>
    </row>
    <row r="30" spans="1:100" s="1" customFormat="1" ht="14.25">
      <c r="A30" s="13"/>
      <c r="B30" s="38"/>
      <c r="C30" s="38"/>
      <c r="D30" s="38"/>
      <c r="E30" s="38"/>
      <c r="F30" s="38"/>
      <c r="G30" s="38"/>
      <c r="H30" s="38"/>
      <c r="I30" s="38"/>
      <c r="J30" s="11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U30" s="90"/>
    </row>
    <row r="31" spans="1:100" s="1" customFormat="1">
      <c r="A31" s="13" t="s">
        <v>95</v>
      </c>
      <c r="B31" s="38">
        <f>B29+B17+B22+B23+B24</f>
        <v>0</v>
      </c>
      <c r="C31" s="38">
        <f>C29+C17+C22+C23+C24+B31</f>
        <v>0</v>
      </c>
      <c r="D31" s="38">
        <f t="shared" ref="D31:BO31" si="13">D29+D17+D22+D23+D24+C31</f>
        <v>0</v>
      </c>
      <c r="E31" s="38">
        <f t="shared" si="13"/>
        <v>0</v>
      </c>
      <c r="F31" s="38">
        <f t="shared" si="13"/>
        <v>0</v>
      </c>
      <c r="G31" s="38">
        <f t="shared" si="13"/>
        <v>1500000</v>
      </c>
      <c r="H31" s="38">
        <f t="shared" si="13"/>
        <v>1500000</v>
      </c>
      <c r="I31" s="38">
        <f t="shared" si="13"/>
        <v>1500000</v>
      </c>
      <c r="J31" s="38">
        <f t="shared" si="13"/>
        <v>1500000</v>
      </c>
      <c r="K31" s="38">
        <f t="shared" si="13"/>
        <v>4500000</v>
      </c>
      <c r="L31" s="38">
        <f t="shared" si="13"/>
        <v>3870000</v>
      </c>
      <c r="M31" s="38">
        <f t="shared" si="13"/>
        <v>5840000</v>
      </c>
      <c r="N31" s="38">
        <f t="shared" si="13"/>
        <v>2810000</v>
      </c>
      <c r="O31" s="38">
        <f t="shared" si="13"/>
        <v>4780000</v>
      </c>
      <c r="P31" s="38">
        <f t="shared" si="13"/>
        <v>1750000</v>
      </c>
      <c r="Q31" s="79">
        <f t="shared" si="13"/>
        <v>3720000</v>
      </c>
      <c r="R31" s="38">
        <f t="shared" si="13"/>
        <v>690000</v>
      </c>
      <c r="S31" s="38">
        <f t="shared" si="13"/>
        <v>2660000</v>
      </c>
      <c r="T31" s="38">
        <f t="shared" si="13"/>
        <v>-370000</v>
      </c>
      <c r="U31" s="38">
        <f t="shared" si="13"/>
        <v>1600000</v>
      </c>
      <c r="V31" s="38">
        <f t="shared" si="13"/>
        <v>2570000</v>
      </c>
      <c r="W31" s="38">
        <f t="shared" si="13"/>
        <v>4540000</v>
      </c>
      <c r="X31" s="38">
        <f t="shared" si="13"/>
        <v>6510000</v>
      </c>
      <c r="Y31" s="38">
        <f t="shared" si="13"/>
        <v>8480000</v>
      </c>
      <c r="Z31" s="38">
        <f t="shared" si="13"/>
        <v>10450000</v>
      </c>
      <c r="AA31" s="38">
        <f t="shared" si="13"/>
        <v>12420000</v>
      </c>
      <c r="AB31" s="38">
        <f t="shared" si="13"/>
        <v>14390000</v>
      </c>
      <c r="AC31" s="38">
        <f t="shared" si="13"/>
        <v>16360000</v>
      </c>
      <c r="AD31" s="38">
        <f t="shared" si="13"/>
        <v>18330000</v>
      </c>
      <c r="AE31" s="38">
        <f t="shared" si="13"/>
        <v>20300000</v>
      </c>
      <c r="AF31" s="38">
        <f t="shared" si="13"/>
        <v>22270000</v>
      </c>
      <c r="AG31" s="38">
        <f t="shared" si="13"/>
        <v>24240000</v>
      </c>
      <c r="AH31" s="38">
        <f t="shared" si="13"/>
        <v>26210000</v>
      </c>
      <c r="AI31" s="38">
        <f t="shared" si="13"/>
        <v>28180000</v>
      </c>
      <c r="AJ31" s="38">
        <f t="shared" si="13"/>
        <v>30150000</v>
      </c>
      <c r="AK31" s="38">
        <f t="shared" si="13"/>
        <v>32120000</v>
      </c>
      <c r="AL31" s="38">
        <f t="shared" si="13"/>
        <v>34090000</v>
      </c>
      <c r="AM31" s="38">
        <f t="shared" si="13"/>
        <v>36060000</v>
      </c>
      <c r="AN31" s="38">
        <f t="shared" si="13"/>
        <v>38030000</v>
      </c>
      <c r="AO31" s="38">
        <f t="shared" si="13"/>
        <v>40000000</v>
      </c>
      <c r="AP31" s="38">
        <f t="shared" si="13"/>
        <v>41970000</v>
      </c>
      <c r="AQ31" s="38">
        <f t="shared" si="13"/>
        <v>43940000</v>
      </c>
      <c r="AR31" s="38">
        <f t="shared" si="13"/>
        <v>45910000</v>
      </c>
      <c r="AS31" s="38">
        <f t="shared" si="13"/>
        <v>47880000</v>
      </c>
      <c r="AT31" s="38">
        <f t="shared" si="13"/>
        <v>49850000</v>
      </c>
      <c r="AU31" s="38">
        <f t="shared" si="13"/>
        <v>51820000</v>
      </c>
      <c r="AV31" s="38">
        <f t="shared" si="13"/>
        <v>53790000</v>
      </c>
      <c r="AW31" s="38">
        <f t="shared" si="13"/>
        <v>55760000</v>
      </c>
      <c r="AX31" s="38">
        <f t="shared" si="13"/>
        <v>57730000</v>
      </c>
      <c r="AY31" s="38">
        <f t="shared" si="13"/>
        <v>59700000</v>
      </c>
      <c r="AZ31" s="38">
        <f t="shared" si="13"/>
        <v>61670000</v>
      </c>
      <c r="BA31" s="38">
        <f t="shared" si="13"/>
        <v>63640000</v>
      </c>
      <c r="BB31" s="38">
        <f t="shared" si="13"/>
        <v>65610000</v>
      </c>
      <c r="BC31" s="38">
        <f t="shared" si="13"/>
        <v>67580000</v>
      </c>
      <c r="BD31" s="38">
        <f t="shared" si="13"/>
        <v>69550000</v>
      </c>
      <c r="BE31" s="38">
        <f t="shared" si="13"/>
        <v>71520000</v>
      </c>
      <c r="BF31" s="38">
        <f t="shared" si="13"/>
        <v>73490000</v>
      </c>
      <c r="BG31" s="38">
        <f t="shared" si="13"/>
        <v>75460000</v>
      </c>
      <c r="BH31" s="38">
        <f t="shared" si="13"/>
        <v>77430000</v>
      </c>
      <c r="BI31" s="38">
        <f t="shared" si="13"/>
        <v>79400000</v>
      </c>
      <c r="BJ31" s="38">
        <f t="shared" si="13"/>
        <v>81370000</v>
      </c>
      <c r="BK31" s="38">
        <f t="shared" si="13"/>
        <v>83340000</v>
      </c>
      <c r="BL31" s="38">
        <f t="shared" si="13"/>
        <v>85310000</v>
      </c>
      <c r="BM31" s="38">
        <f t="shared" si="13"/>
        <v>87280000</v>
      </c>
      <c r="BN31" s="38">
        <f t="shared" si="13"/>
        <v>89250000</v>
      </c>
      <c r="BO31" s="38">
        <f t="shared" si="13"/>
        <v>91220000</v>
      </c>
      <c r="BP31" s="38">
        <f t="shared" ref="BP31:CS31" si="14">BP29+BP17+BP22+BP23+BP24+BO31</f>
        <v>93190000</v>
      </c>
      <c r="BQ31" s="38">
        <f t="shared" si="14"/>
        <v>95160000</v>
      </c>
      <c r="BR31" s="38">
        <f t="shared" si="14"/>
        <v>97130000</v>
      </c>
      <c r="BS31" s="38">
        <f t="shared" si="14"/>
        <v>99100000</v>
      </c>
      <c r="BT31" s="38">
        <f t="shared" si="14"/>
        <v>101070000</v>
      </c>
      <c r="BU31" s="38">
        <f t="shared" si="14"/>
        <v>103040000</v>
      </c>
      <c r="BV31" s="38">
        <f t="shared" si="14"/>
        <v>105010000</v>
      </c>
      <c r="BW31" s="38">
        <f t="shared" si="14"/>
        <v>106980000</v>
      </c>
      <c r="BX31" s="38">
        <f t="shared" si="14"/>
        <v>108950000</v>
      </c>
      <c r="BY31" s="38">
        <f t="shared" si="14"/>
        <v>110920000</v>
      </c>
      <c r="BZ31" s="38">
        <f t="shared" si="14"/>
        <v>112890000</v>
      </c>
      <c r="CA31" s="38">
        <f t="shared" si="14"/>
        <v>114860000</v>
      </c>
      <c r="CB31" s="38">
        <f t="shared" si="14"/>
        <v>116830000</v>
      </c>
      <c r="CC31" s="38">
        <f t="shared" si="14"/>
        <v>118800000</v>
      </c>
      <c r="CD31" s="38">
        <f t="shared" si="14"/>
        <v>120770000</v>
      </c>
      <c r="CE31" s="38">
        <f t="shared" si="14"/>
        <v>122740000</v>
      </c>
      <c r="CF31" s="38">
        <f t="shared" si="14"/>
        <v>124710000</v>
      </c>
      <c r="CG31" s="38">
        <f t="shared" si="14"/>
        <v>126680000</v>
      </c>
      <c r="CH31" s="38">
        <f t="shared" si="14"/>
        <v>128650000</v>
      </c>
      <c r="CI31" s="38">
        <f t="shared" si="14"/>
        <v>130620000</v>
      </c>
      <c r="CJ31" s="38">
        <f t="shared" si="14"/>
        <v>132590000</v>
      </c>
      <c r="CK31" s="38">
        <f t="shared" si="14"/>
        <v>134560000</v>
      </c>
      <c r="CL31" s="38">
        <f t="shared" si="14"/>
        <v>136530000</v>
      </c>
      <c r="CM31" s="38">
        <f t="shared" si="14"/>
        <v>138500000</v>
      </c>
      <c r="CN31" s="38">
        <f t="shared" si="14"/>
        <v>140470000</v>
      </c>
      <c r="CO31" s="38">
        <f t="shared" si="14"/>
        <v>142440000</v>
      </c>
      <c r="CP31" s="38">
        <f t="shared" si="14"/>
        <v>144410000</v>
      </c>
      <c r="CQ31" s="38">
        <f t="shared" si="14"/>
        <v>144380000</v>
      </c>
      <c r="CR31" s="38">
        <f t="shared" si="14"/>
        <v>144380000</v>
      </c>
      <c r="CS31" s="38">
        <f t="shared" si="14"/>
        <v>147363493.19999999</v>
      </c>
      <c r="CU31" s="38"/>
    </row>
    <row r="32" spans="1:100" s="1" customFormat="1">
      <c r="A32" s="13" t="s">
        <v>134</v>
      </c>
      <c r="B32" s="38">
        <f>MIN(E31:CS31)</f>
        <v>-370000</v>
      </c>
      <c r="C32" s="38"/>
      <c r="D32" s="38"/>
      <c r="F32" s="38"/>
      <c r="G32" s="38"/>
      <c r="H32" s="38"/>
      <c r="I32" s="38"/>
      <c r="J32" s="11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B32" s="12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CU32" s="38"/>
    </row>
    <row r="33" spans="1:100">
      <c r="A33" s="13" t="s">
        <v>30</v>
      </c>
      <c r="B33" s="41">
        <f>B14</f>
        <v>0</v>
      </c>
      <c r="C33" s="41">
        <f>C14+(B33+B34+B35-C26)</f>
        <v>0</v>
      </c>
      <c r="D33" s="41">
        <f t="shared" ref="D33:AI33" si="15">D14+(C33+C34-D26)</f>
        <v>0</v>
      </c>
      <c r="E33" s="41">
        <f t="shared" si="15"/>
        <v>0</v>
      </c>
      <c r="F33" s="41">
        <f t="shared" si="15"/>
        <v>0</v>
      </c>
      <c r="G33" s="41">
        <f t="shared" si="15"/>
        <v>0</v>
      </c>
      <c r="H33" s="41">
        <f t="shared" si="15"/>
        <v>0</v>
      </c>
      <c r="I33" s="37">
        <f t="shared" si="15"/>
        <v>0</v>
      </c>
      <c r="J33" s="117">
        <f t="shared" si="15"/>
        <v>0</v>
      </c>
      <c r="K33" s="41">
        <f t="shared" si="15"/>
        <v>0</v>
      </c>
      <c r="L33" s="37">
        <f t="shared" si="15"/>
        <v>0</v>
      </c>
      <c r="M33" s="37">
        <f t="shared" si="15"/>
        <v>0</v>
      </c>
      <c r="N33" s="37">
        <f t="shared" si="15"/>
        <v>0</v>
      </c>
      <c r="O33" s="37">
        <f t="shared" si="15"/>
        <v>0</v>
      </c>
      <c r="P33" s="37">
        <f t="shared" si="15"/>
        <v>0</v>
      </c>
      <c r="Q33" s="37">
        <f t="shared" si="15"/>
        <v>0</v>
      </c>
      <c r="R33" s="37">
        <f t="shared" si="15"/>
        <v>0</v>
      </c>
      <c r="S33" s="37">
        <f t="shared" si="15"/>
        <v>0</v>
      </c>
      <c r="T33" s="37">
        <f t="shared" si="15"/>
        <v>0</v>
      </c>
      <c r="U33" s="37">
        <f t="shared" si="15"/>
        <v>0</v>
      </c>
      <c r="V33" s="37">
        <f t="shared" si="15"/>
        <v>0</v>
      </c>
      <c r="W33" s="37">
        <f t="shared" si="15"/>
        <v>0</v>
      </c>
      <c r="X33" s="37">
        <f t="shared" si="15"/>
        <v>0</v>
      </c>
      <c r="Y33" s="37">
        <f t="shared" si="15"/>
        <v>0</v>
      </c>
      <c r="Z33" s="37">
        <f t="shared" si="15"/>
        <v>0</v>
      </c>
      <c r="AA33" s="37">
        <f t="shared" si="15"/>
        <v>0</v>
      </c>
      <c r="AB33" s="37">
        <f t="shared" si="15"/>
        <v>0</v>
      </c>
      <c r="AC33" s="37">
        <f t="shared" si="15"/>
        <v>0</v>
      </c>
      <c r="AD33" s="37">
        <f t="shared" si="15"/>
        <v>0</v>
      </c>
      <c r="AE33" s="37">
        <f t="shared" si="15"/>
        <v>0</v>
      </c>
      <c r="AF33" s="37">
        <f t="shared" si="15"/>
        <v>0</v>
      </c>
      <c r="AG33" s="37">
        <f t="shared" si="15"/>
        <v>0</v>
      </c>
      <c r="AH33" s="37">
        <f t="shared" si="15"/>
        <v>0</v>
      </c>
      <c r="AI33" s="37">
        <f t="shared" si="15"/>
        <v>0</v>
      </c>
      <c r="AJ33" s="37">
        <f t="shared" ref="AJ33:BO33" si="16">AJ14+(AI33+AI34-AJ26)</f>
        <v>0</v>
      </c>
      <c r="AK33" s="37">
        <f t="shared" si="16"/>
        <v>0</v>
      </c>
      <c r="AL33" s="37">
        <f t="shared" si="16"/>
        <v>0</v>
      </c>
      <c r="AM33" s="37">
        <f t="shared" si="16"/>
        <v>0</v>
      </c>
      <c r="AN33" s="37">
        <f t="shared" si="16"/>
        <v>0</v>
      </c>
      <c r="AO33" s="37">
        <f t="shared" si="16"/>
        <v>0</v>
      </c>
      <c r="AP33" s="37">
        <f t="shared" si="16"/>
        <v>0</v>
      </c>
      <c r="AQ33" s="37">
        <f t="shared" si="16"/>
        <v>0</v>
      </c>
      <c r="AR33" s="37">
        <f t="shared" si="16"/>
        <v>0</v>
      </c>
      <c r="AS33" s="37">
        <f t="shared" si="16"/>
        <v>0</v>
      </c>
      <c r="AT33" s="37">
        <f t="shared" si="16"/>
        <v>0</v>
      </c>
      <c r="AU33" s="37">
        <f t="shared" si="16"/>
        <v>0</v>
      </c>
      <c r="AV33" s="37">
        <f t="shared" si="16"/>
        <v>0</v>
      </c>
      <c r="AW33" s="37">
        <f t="shared" si="16"/>
        <v>0</v>
      </c>
      <c r="AX33" s="37">
        <f t="shared" si="16"/>
        <v>0</v>
      </c>
      <c r="AY33" s="37">
        <f t="shared" si="16"/>
        <v>0</v>
      </c>
      <c r="AZ33" s="37">
        <f t="shared" si="16"/>
        <v>0</v>
      </c>
      <c r="BA33" s="37">
        <f t="shared" si="16"/>
        <v>0</v>
      </c>
      <c r="BB33" s="37">
        <f t="shared" si="16"/>
        <v>0</v>
      </c>
      <c r="BC33" s="37">
        <f t="shared" si="16"/>
        <v>0</v>
      </c>
      <c r="BD33" s="37">
        <f t="shared" si="16"/>
        <v>0</v>
      </c>
      <c r="BE33" s="37">
        <f t="shared" si="16"/>
        <v>0</v>
      </c>
      <c r="BF33" s="37">
        <f t="shared" si="16"/>
        <v>0</v>
      </c>
      <c r="BG33" s="37">
        <f t="shared" si="16"/>
        <v>0</v>
      </c>
      <c r="BH33" s="37">
        <f t="shared" si="16"/>
        <v>0</v>
      </c>
      <c r="BI33" s="37">
        <f t="shared" si="16"/>
        <v>0</v>
      </c>
      <c r="BJ33" s="37">
        <f t="shared" si="16"/>
        <v>0</v>
      </c>
      <c r="BK33" s="37">
        <f t="shared" si="16"/>
        <v>0</v>
      </c>
      <c r="BL33" s="37">
        <f t="shared" si="16"/>
        <v>0</v>
      </c>
      <c r="BM33" s="37">
        <f t="shared" si="16"/>
        <v>0</v>
      </c>
      <c r="BN33" s="37">
        <f t="shared" si="16"/>
        <v>0</v>
      </c>
      <c r="BO33" s="37">
        <f t="shared" si="16"/>
        <v>0</v>
      </c>
      <c r="BP33" s="37">
        <f t="shared" ref="BP33:CS33" si="17">BP14+(BO33+BO34-BP26)</f>
        <v>0</v>
      </c>
      <c r="BQ33" s="37">
        <f t="shared" si="17"/>
        <v>0</v>
      </c>
      <c r="BR33" s="37">
        <f t="shared" si="17"/>
        <v>0</v>
      </c>
      <c r="BS33" s="37">
        <f t="shared" si="17"/>
        <v>0</v>
      </c>
      <c r="BT33" s="37">
        <f t="shared" si="17"/>
        <v>0</v>
      </c>
      <c r="BU33" s="37">
        <f t="shared" si="17"/>
        <v>0</v>
      </c>
      <c r="BV33" s="37">
        <f t="shared" si="17"/>
        <v>0</v>
      </c>
      <c r="BW33" s="37">
        <f t="shared" si="17"/>
        <v>0</v>
      </c>
      <c r="BX33" s="37">
        <f t="shared" si="17"/>
        <v>0</v>
      </c>
      <c r="BY33" s="37">
        <f t="shared" si="17"/>
        <v>0</v>
      </c>
      <c r="BZ33" s="37">
        <f t="shared" si="17"/>
        <v>0</v>
      </c>
      <c r="CA33" s="37">
        <f t="shared" si="17"/>
        <v>0</v>
      </c>
      <c r="CB33" s="37">
        <f t="shared" si="17"/>
        <v>0</v>
      </c>
      <c r="CC33" s="37">
        <f t="shared" si="17"/>
        <v>0</v>
      </c>
      <c r="CD33" s="37">
        <f t="shared" si="17"/>
        <v>0</v>
      </c>
      <c r="CE33" s="37">
        <f t="shared" si="17"/>
        <v>0</v>
      </c>
      <c r="CF33" s="37">
        <f t="shared" si="17"/>
        <v>0</v>
      </c>
      <c r="CG33" s="37">
        <f t="shared" si="17"/>
        <v>0</v>
      </c>
      <c r="CH33" s="37">
        <f t="shared" si="17"/>
        <v>0</v>
      </c>
      <c r="CI33" s="37">
        <f t="shared" si="17"/>
        <v>0</v>
      </c>
      <c r="CJ33" s="37">
        <f t="shared" si="17"/>
        <v>0</v>
      </c>
      <c r="CK33" s="37">
        <f t="shared" si="17"/>
        <v>0</v>
      </c>
      <c r="CL33" s="37">
        <f t="shared" si="17"/>
        <v>0</v>
      </c>
      <c r="CM33" s="37">
        <f t="shared" si="17"/>
        <v>0</v>
      </c>
      <c r="CN33" s="37">
        <f t="shared" si="17"/>
        <v>0</v>
      </c>
      <c r="CO33" s="37">
        <f t="shared" si="17"/>
        <v>0</v>
      </c>
      <c r="CP33" s="37">
        <f t="shared" si="17"/>
        <v>0</v>
      </c>
      <c r="CQ33" s="37">
        <f t="shared" si="17"/>
        <v>0</v>
      </c>
      <c r="CR33" s="37">
        <f t="shared" si="17"/>
        <v>0</v>
      </c>
      <c r="CS33" s="37">
        <f t="shared" si="17"/>
        <v>0</v>
      </c>
      <c r="CU33" s="38">
        <f t="shared" si="10"/>
        <v>0</v>
      </c>
    </row>
    <row r="34" spans="1:100">
      <c r="A34" s="13" t="s">
        <v>31</v>
      </c>
      <c r="B34" s="41">
        <f>B33*B44</f>
        <v>0</v>
      </c>
      <c r="C34" s="41">
        <f>C33*B44</f>
        <v>0</v>
      </c>
      <c r="D34" s="41">
        <f>D33*B44</f>
        <v>0</v>
      </c>
      <c r="E34" s="41">
        <f>E33*B44</f>
        <v>0</v>
      </c>
      <c r="F34" s="41">
        <f>F33*B44</f>
        <v>0</v>
      </c>
      <c r="G34" s="41">
        <f>G33*B44</f>
        <v>0</v>
      </c>
      <c r="H34" s="41">
        <f>H33*B44</f>
        <v>0</v>
      </c>
      <c r="I34" s="37">
        <f>I33*B44</f>
        <v>0</v>
      </c>
      <c r="J34" s="117">
        <f>J33*B44</f>
        <v>0</v>
      </c>
      <c r="K34" s="37">
        <f>K33*B44</f>
        <v>0</v>
      </c>
      <c r="L34" s="37">
        <f>L33*B44</f>
        <v>0</v>
      </c>
      <c r="M34" s="37">
        <f>M33*B44</f>
        <v>0</v>
      </c>
      <c r="N34" s="37">
        <f>N33*B44</f>
        <v>0</v>
      </c>
      <c r="O34" s="37">
        <f>O33*B44</f>
        <v>0</v>
      </c>
      <c r="P34" s="37">
        <f>P33*B44</f>
        <v>0</v>
      </c>
      <c r="Q34" s="37">
        <f>Q33*B44</f>
        <v>0</v>
      </c>
      <c r="R34" s="37">
        <f>R33*B44</f>
        <v>0</v>
      </c>
      <c r="S34" s="37">
        <f>S33*B44</f>
        <v>0</v>
      </c>
      <c r="T34" s="37">
        <f>T33*B44</f>
        <v>0</v>
      </c>
      <c r="U34" s="37">
        <f>U33*B44</f>
        <v>0</v>
      </c>
      <c r="V34" s="37">
        <f>V33*B44</f>
        <v>0</v>
      </c>
      <c r="W34" s="37">
        <f>W33*B44</f>
        <v>0</v>
      </c>
      <c r="X34" s="37">
        <f>X33*B44</f>
        <v>0</v>
      </c>
      <c r="Y34" s="37">
        <f>Y33*$B$44</f>
        <v>0</v>
      </c>
      <c r="Z34" s="37">
        <f t="shared" ref="Z34:CK34" si="18">Z33*$B$44</f>
        <v>0</v>
      </c>
      <c r="AA34" s="37">
        <f t="shared" si="18"/>
        <v>0</v>
      </c>
      <c r="AB34" s="37">
        <f t="shared" si="18"/>
        <v>0</v>
      </c>
      <c r="AC34" s="37">
        <f t="shared" si="18"/>
        <v>0</v>
      </c>
      <c r="AD34" s="37">
        <f t="shared" si="18"/>
        <v>0</v>
      </c>
      <c r="AE34" s="37">
        <f t="shared" si="18"/>
        <v>0</v>
      </c>
      <c r="AF34" s="37">
        <f t="shared" si="18"/>
        <v>0</v>
      </c>
      <c r="AG34" s="37">
        <f t="shared" si="18"/>
        <v>0</v>
      </c>
      <c r="AH34" s="37">
        <f t="shared" si="18"/>
        <v>0</v>
      </c>
      <c r="AI34" s="37">
        <f t="shared" si="18"/>
        <v>0</v>
      </c>
      <c r="AJ34" s="37">
        <f t="shared" si="18"/>
        <v>0</v>
      </c>
      <c r="AK34" s="37">
        <f t="shared" si="18"/>
        <v>0</v>
      </c>
      <c r="AL34" s="37">
        <f t="shared" si="18"/>
        <v>0</v>
      </c>
      <c r="AM34" s="37">
        <f t="shared" si="18"/>
        <v>0</v>
      </c>
      <c r="AN34" s="37">
        <f t="shared" si="18"/>
        <v>0</v>
      </c>
      <c r="AO34" s="37">
        <f t="shared" si="18"/>
        <v>0</v>
      </c>
      <c r="AP34" s="37">
        <f t="shared" si="18"/>
        <v>0</v>
      </c>
      <c r="AQ34" s="37">
        <f t="shared" si="18"/>
        <v>0</v>
      </c>
      <c r="AR34" s="37">
        <f t="shared" si="18"/>
        <v>0</v>
      </c>
      <c r="AS34" s="37">
        <f t="shared" si="18"/>
        <v>0</v>
      </c>
      <c r="AT34" s="37">
        <f t="shared" si="18"/>
        <v>0</v>
      </c>
      <c r="AU34" s="37">
        <f t="shared" si="18"/>
        <v>0</v>
      </c>
      <c r="AV34" s="37">
        <f t="shared" si="18"/>
        <v>0</v>
      </c>
      <c r="AW34" s="37">
        <f t="shared" si="18"/>
        <v>0</v>
      </c>
      <c r="AX34" s="37">
        <f t="shared" si="18"/>
        <v>0</v>
      </c>
      <c r="AY34" s="37">
        <f t="shared" si="18"/>
        <v>0</v>
      </c>
      <c r="AZ34" s="37">
        <f t="shared" si="18"/>
        <v>0</v>
      </c>
      <c r="BA34" s="37">
        <f t="shared" si="18"/>
        <v>0</v>
      </c>
      <c r="BB34" s="37">
        <f t="shared" si="18"/>
        <v>0</v>
      </c>
      <c r="BC34" s="37">
        <f t="shared" si="18"/>
        <v>0</v>
      </c>
      <c r="BD34" s="37">
        <f t="shared" si="18"/>
        <v>0</v>
      </c>
      <c r="BE34" s="37">
        <f t="shared" si="18"/>
        <v>0</v>
      </c>
      <c r="BF34" s="37">
        <f t="shared" si="18"/>
        <v>0</v>
      </c>
      <c r="BG34" s="37">
        <f t="shared" si="18"/>
        <v>0</v>
      </c>
      <c r="BH34" s="37">
        <f t="shared" si="18"/>
        <v>0</v>
      </c>
      <c r="BI34" s="37">
        <f t="shared" si="18"/>
        <v>0</v>
      </c>
      <c r="BJ34" s="37">
        <f t="shared" si="18"/>
        <v>0</v>
      </c>
      <c r="BK34" s="37">
        <f t="shared" si="18"/>
        <v>0</v>
      </c>
      <c r="BL34" s="37">
        <f t="shared" si="18"/>
        <v>0</v>
      </c>
      <c r="BM34" s="37">
        <f t="shared" si="18"/>
        <v>0</v>
      </c>
      <c r="BN34" s="37">
        <f t="shared" si="18"/>
        <v>0</v>
      </c>
      <c r="BO34" s="37">
        <f t="shared" si="18"/>
        <v>0</v>
      </c>
      <c r="BP34" s="37">
        <f t="shared" si="18"/>
        <v>0</v>
      </c>
      <c r="BQ34" s="37">
        <f t="shared" si="18"/>
        <v>0</v>
      </c>
      <c r="BR34" s="37">
        <f t="shared" si="18"/>
        <v>0</v>
      </c>
      <c r="BS34" s="37">
        <f t="shared" si="18"/>
        <v>0</v>
      </c>
      <c r="BT34" s="37">
        <f t="shared" si="18"/>
        <v>0</v>
      </c>
      <c r="BU34" s="37">
        <f t="shared" si="18"/>
        <v>0</v>
      </c>
      <c r="BV34" s="37">
        <f t="shared" si="18"/>
        <v>0</v>
      </c>
      <c r="BW34" s="37">
        <f t="shared" si="18"/>
        <v>0</v>
      </c>
      <c r="BX34" s="37">
        <f t="shared" si="18"/>
        <v>0</v>
      </c>
      <c r="BY34" s="37">
        <f t="shared" si="18"/>
        <v>0</v>
      </c>
      <c r="BZ34" s="37">
        <f t="shared" si="18"/>
        <v>0</v>
      </c>
      <c r="CA34" s="37">
        <f t="shared" si="18"/>
        <v>0</v>
      </c>
      <c r="CB34" s="37">
        <f t="shared" si="18"/>
        <v>0</v>
      </c>
      <c r="CC34" s="37">
        <f t="shared" si="18"/>
        <v>0</v>
      </c>
      <c r="CD34" s="37">
        <f t="shared" si="18"/>
        <v>0</v>
      </c>
      <c r="CE34" s="37">
        <f t="shared" si="18"/>
        <v>0</v>
      </c>
      <c r="CF34" s="37">
        <f t="shared" si="18"/>
        <v>0</v>
      </c>
      <c r="CG34" s="37">
        <f t="shared" si="18"/>
        <v>0</v>
      </c>
      <c r="CH34" s="37">
        <f t="shared" si="18"/>
        <v>0</v>
      </c>
      <c r="CI34" s="37">
        <f t="shared" si="18"/>
        <v>0</v>
      </c>
      <c r="CJ34" s="37">
        <f t="shared" si="18"/>
        <v>0</v>
      </c>
      <c r="CK34" s="37">
        <f t="shared" si="18"/>
        <v>0</v>
      </c>
      <c r="CL34" s="37">
        <f t="shared" ref="CL34:CS34" si="19">CL33*$B$44</f>
        <v>0</v>
      </c>
      <c r="CM34" s="37">
        <f t="shared" si="19"/>
        <v>0</v>
      </c>
      <c r="CN34" s="37">
        <f t="shared" si="19"/>
        <v>0</v>
      </c>
      <c r="CO34" s="37">
        <f t="shared" si="19"/>
        <v>0</v>
      </c>
      <c r="CP34" s="37">
        <f t="shared" si="19"/>
        <v>0</v>
      </c>
      <c r="CQ34" s="37">
        <f t="shared" si="19"/>
        <v>0</v>
      </c>
      <c r="CR34" s="37">
        <f t="shared" si="19"/>
        <v>0</v>
      </c>
      <c r="CS34" s="37">
        <f t="shared" si="19"/>
        <v>0</v>
      </c>
      <c r="CU34" s="38">
        <f t="shared" si="10"/>
        <v>0</v>
      </c>
    </row>
    <row r="35" spans="1:100">
      <c r="A35" s="13" t="s">
        <v>74</v>
      </c>
      <c r="B35" s="41">
        <f>0*B46</f>
        <v>0</v>
      </c>
      <c r="C35" s="41"/>
      <c r="D35" s="41"/>
      <c r="E35" s="41"/>
      <c r="F35" s="41"/>
      <c r="G35" s="41"/>
      <c r="H35" s="41"/>
      <c r="I35" s="37"/>
      <c r="J35" s="117">
        <f>0.025*B46</f>
        <v>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CU35" s="38">
        <f t="shared" si="10"/>
        <v>0</v>
      </c>
    </row>
    <row r="36" spans="1:100">
      <c r="A36" s="13" t="s">
        <v>36</v>
      </c>
      <c r="B36" s="73">
        <f>MAX(B33:CS33)</f>
        <v>0</v>
      </c>
      <c r="C36" s="41"/>
      <c r="D36" s="41"/>
      <c r="E36" s="41"/>
      <c r="F36" s="41"/>
      <c r="G36" s="41"/>
      <c r="H36" s="41"/>
      <c r="I36" s="37"/>
      <c r="J36" s="11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CU36" s="38">
        <f t="shared" si="10"/>
        <v>0</v>
      </c>
    </row>
    <row r="37" spans="1:100" ht="12" customHeight="1">
      <c r="A37" s="11"/>
      <c r="B37" s="44"/>
      <c r="C37" s="45"/>
      <c r="D37" s="45"/>
      <c r="E37" s="45"/>
      <c r="F37" s="45"/>
      <c r="G37" s="45"/>
      <c r="H37" s="45"/>
      <c r="I37" s="45"/>
      <c r="J37" s="121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4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CU37" s="38"/>
    </row>
    <row r="38" spans="1:100">
      <c r="A38" s="12" t="s">
        <v>13</v>
      </c>
      <c r="B38" s="38">
        <f>SUM(B29:CS29)</f>
        <v>101303705.87599999</v>
      </c>
      <c r="C38" s="12"/>
      <c r="D38" s="12"/>
      <c r="E38" s="12"/>
      <c r="F38" s="12"/>
      <c r="G38" s="12"/>
      <c r="H38" s="12"/>
      <c r="I38" s="12"/>
      <c r="J38" s="11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CU38" s="38">
        <f>SUM(B38:CS38)</f>
        <v>101303705.87599999</v>
      </c>
      <c r="CV38" s="26">
        <f>CU12-SUM(CU17:CU24)</f>
        <v>101303705.87599999</v>
      </c>
    </row>
    <row r="39" spans="1:100">
      <c r="A39" s="12"/>
      <c r="B39" s="37"/>
      <c r="C39" s="12"/>
      <c r="D39" s="12"/>
      <c r="E39" s="12"/>
      <c r="F39" s="12"/>
      <c r="G39" s="12"/>
      <c r="H39" s="12"/>
      <c r="I39" s="12"/>
      <c r="J39" s="11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CS39" s="12"/>
      <c r="CU39" s="38"/>
    </row>
    <row r="40" spans="1:100">
      <c r="A40" s="13" t="s">
        <v>17</v>
      </c>
      <c r="B40" s="130">
        <f>(POWER(1+IRR(B29:CS29),12)-1)</f>
        <v>0.93372957637040987</v>
      </c>
      <c r="C40" s="110" t="s">
        <v>29</v>
      </c>
      <c r="D40" s="109">
        <f>IRR(B29:CS29)</f>
        <v>5.6492240413831274E-2</v>
      </c>
      <c r="E40" s="81" t="s">
        <v>94</v>
      </c>
      <c r="CS40" s="1"/>
      <c r="CU40" s="38"/>
    </row>
    <row r="41" spans="1:100">
      <c r="A41" s="14" t="s">
        <v>15</v>
      </c>
      <c r="B41" s="64">
        <v>7.0000000000000007E-2</v>
      </c>
      <c r="C41" s="111"/>
      <c r="CS41" s="1"/>
      <c r="CU41" s="38">
        <f t="shared" si="10"/>
        <v>7.0000000000000007E-2</v>
      </c>
    </row>
    <row r="42" spans="1:100" ht="16.5">
      <c r="A42" s="16"/>
      <c r="B42" s="24"/>
      <c r="C42" s="17"/>
      <c r="D42" s="25"/>
      <c r="CS42" s="1"/>
      <c r="CU42" s="38"/>
    </row>
    <row r="43" spans="1:100">
      <c r="A43" s="18" t="s">
        <v>28</v>
      </c>
      <c r="B43" s="50">
        <v>0.115</v>
      </c>
      <c r="C43" s="49" t="s">
        <v>29</v>
      </c>
      <c r="CS43" s="1"/>
      <c r="CU43" s="38"/>
    </row>
    <row r="44" spans="1:100">
      <c r="B44" s="50">
        <f>B43/12</f>
        <v>9.5833333333333343E-3</v>
      </c>
      <c r="C44" s="49" t="s">
        <v>44</v>
      </c>
      <c r="CS44" s="1"/>
      <c r="CU44" s="38">
        <f t="shared" si="10"/>
        <v>9.5833333333333343E-3</v>
      </c>
    </row>
    <row r="45" spans="1:100">
      <c r="CS45" s="1"/>
      <c r="CU45" s="38"/>
    </row>
    <row r="46" spans="1:100">
      <c r="A46" s="43" t="s">
        <v>45</v>
      </c>
      <c r="B46" s="47">
        <v>0</v>
      </c>
      <c r="CS46" s="1"/>
      <c r="CU46" s="38">
        <f t="shared" si="10"/>
        <v>0</v>
      </c>
    </row>
    <row r="47" spans="1:100">
      <c r="B47" s="48">
        <f>B46/principal!G10</f>
        <v>0</v>
      </c>
      <c r="C47" s="49" t="s">
        <v>47</v>
      </c>
      <c r="CS47" s="1"/>
      <c r="CU47" s="38"/>
    </row>
    <row r="48" spans="1:100">
      <c r="A48" s="83" t="s">
        <v>60</v>
      </c>
      <c r="B48" s="48">
        <v>0.53</v>
      </c>
      <c r="C48" s="48">
        <v>0.45</v>
      </c>
      <c r="D48" s="48">
        <v>0.42</v>
      </c>
      <c r="E48" s="48">
        <v>0.38</v>
      </c>
      <c r="F48" s="48">
        <v>0.37</v>
      </c>
      <c r="G48" s="48">
        <v>0.35</v>
      </c>
      <c r="H48" s="48">
        <v>0.33</v>
      </c>
      <c r="I48" s="48">
        <v>0.31</v>
      </c>
      <c r="J48" s="122">
        <v>0.28999999999999998</v>
      </c>
      <c r="K48" s="48">
        <v>0.22</v>
      </c>
      <c r="L48" s="48">
        <v>0.21</v>
      </c>
      <c r="M48" s="48">
        <v>0.2</v>
      </c>
      <c r="N48" s="48">
        <v>0.2</v>
      </c>
      <c r="O48" s="48">
        <v>0.2</v>
      </c>
      <c r="P48" s="48">
        <v>0.2</v>
      </c>
      <c r="Q48" s="48">
        <v>0.19</v>
      </c>
      <c r="R48" s="113">
        <v>0.18</v>
      </c>
      <c r="S48" s="48">
        <f t="shared" ref="S48:CC48" si="20">R48</f>
        <v>0.18</v>
      </c>
      <c r="T48" s="48">
        <f t="shared" si="20"/>
        <v>0.18</v>
      </c>
      <c r="U48" s="48">
        <f t="shared" si="20"/>
        <v>0.18</v>
      </c>
      <c r="V48" s="48">
        <v>0.18</v>
      </c>
      <c r="W48" s="48">
        <f t="shared" si="20"/>
        <v>0.18</v>
      </c>
      <c r="X48" s="48">
        <v>0.17</v>
      </c>
      <c r="Y48" s="48">
        <f t="shared" si="20"/>
        <v>0.17</v>
      </c>
      <c r="Z48" s="48">
        <f t="shared" si="20"/>
        <v>0.17</v>
      </c>
      <c r="AA48" s="48">
        <f t="shared" si="20"/>
        <v>0.17</v>
      </c>
      <c r="AB48" s="48">
        <f t="shared" si="20"/>
        <v>0.17</v>
      </c>
      <c r="AC48" s="48">
        <f t="shared" si="20"/>
        <v>0.17</v>
      </c>
      <c r="AD48" s="48">
        <f t="shared" si="20"/>
        <v>0.17</v>
      </c>
      <c r="AE48" s="48">
        <f t="shared" si="20"/>
        <v>0.17</v>
      </c>
      <c r="AF48" s="48">
        <f t="shared" si="20"/>
        <v>0.17</v>
      </c>
      <c r="AG48" s="48">
        <f t="shared" si="20"/>
        <v>0.17</v>
      </c>
      <c r="AH48" s="48">
        <f t="shared" si="20"/>
        <v>0.17</v>
      </c>
      <c r="AI48" s="48">
        <v>0.16</v>
      </c>
      <c r="AJ48" s="48">
        <f t="shared" si="20"/>
        <v>0.16</v>
      </c>
      <c r="AK48" s="48">
        <f t="shared" si="20"/>
        <v>0.16</v>
      </c>
      <c r="AL48" s="48">
        <f t="shared" si="20"/>
        <v>0.16</v>
      </c>
      <c r="AM48" s="48">
        <f t="shared" si="20"/>
        <v>0.16</v>
      </c>
      <c r="AN48" s="48">
        <f t="shared" si="20"/>
        <v>0.16</v>
      </c>
      <c r="AO48" s="48">
        <f t="shared" si="20"/>
        <v>0.16</v>
      </c>
      <c r="AP48" s="48">
        <v>0.15</v>
      </c>
      <c r="AQ48" s="48">
        <f t="shared" si="20"/>
        <v>0.15</v>
      </c>
      <c r="AR48" s="48">
        <f t="shared" si="20"/>
        <v>0.15</v>
      </c>
      <c r="AS48" s="48">
        <f t="shared" si="20"/>
        <v>0.15</v>
      </c>
      <c r="AT48" s="48">
        <v>0.14000000000000001</v>
      </c>
      <c r="AU48" s="48">
        <f t="shared" si="20"/>
        <v>0.14000000000000001</v>
      </c>
      <c r="AV48" s="48">
        <v>0.13</v>
      </c>
      <c r="AW48" s="48">
        <f t="shared" si="20"/>
        <v>0.13</v>
      </c>
      <c r="AX48" s="48">
        <f t="shared" si="20"/>
        <v>0.13</v>
      </c>
      <c r="AY48" s="48">
        <f t="shared" si="20"/>
        <v>0.13</v>
      </c>
      <c r="AZ48" s="48">
        <f t="shared" si="20"/>
        <v>0.13</v>
      </c>
      <c r="BA48" s="48">
        <f t="shared" si="20"/>
        <v>0.13</v>
      </c>
      <c r="BB48" s="48">
        <f t="shared" si="20"/>
        <v>0.13</v>
      </c>
      <c r="BC48" s="48">
        <f t="shared" si="20"/>
        <v>0.13</v>
      </c>
      <c r="BD48" s="48">
        <f t="shared" si="20"/>
        <v>0.13</v>
      </c>
      <c r="BE48" s="48">
        <f t="shared" si="20"/>
        <v>0.13</v>
      </c>
      <c r="BF48" s="48">
        <f t="shared" si="20"/>
        <v>0.13</v>
      </c>
      <c r="BG48" s="48">
        <f t="shared" si="20"/>
        <v>0.13</v>
      </c>
      <c r="BH48" s="48">
        <f t="shared" si="20"/>
        <v>0.13</v>
      </c>
      <c r="BI48" s="48">
        <f t="shared" si="20"/>
        <v>0.13</v>
      </c>
      <c r="BJ48" s="48">
        <f t="shared" si="20"/>
        <v>0.13</v>
      </c>
      <c r="BK48" s="48">
        <f t="shared" si="20"/>
        <v>0.13</v>
      </c>
      <c r="BL48" s="48">
        <f t="shared" si="20"/>
        <v>0.13</v>
      </c>
      <c r="BM48" s="48">
        <f t="shared" si="20"/>
        <v>0.13</v>
      </c>
      <c r="BN48" s="48">
        <v>0.12</v>
      </c>
      <c r="BO48" s="48">
        <f t="shared" si="20"/>
        <v>0.12</v>
      </c>
      <c r="BP48" s="48">
        <f t="shared" si="20"/>
        <v>0.12</v>
      </c>
      <c r="BQ48" s="48">
        <f t="shared" si="20"/>
        <v>0.12</v>
      </c>
      <c r="BR48" s="48">
        <f t="shared" si="20"/>
        <v>0.12</v>
      </c>
      <c r="BS48" s="48">
        <f t="shared" si="20"/>
        <v>0.12</v>
      </c>
      <c r="BT48" s="48">
        <f t="shared" si="20"/>
        <v>0.12</v>
      </c>
      <c r="BU48" s="48">
        <f t="shared" si="20"/>
        <v>0.12</v>
      </c>
      <c r="BV48" s="48">
        <f t="shared" si="20"/>
        <v>0.12</v>
      </c>
      <c r="BW48" s="48">
        <f t="shared" si="20"/>
        <v>0.12</v>
      </c>
      <c r="BX48" s="48">
        <f t="shared" si="20"/>
        <v>0.12</v>
      </c>
      <c r="BY48" s="48">
        <v>0.12</v>
      </c>
      <c r="BZ48" s="48">
        <f t="shared" si="20"/>
        <v>0.12</v>
      </c>
      <c r="CA48" s="48">
        <f t="shared" si="20"/>
        <v>0.12</v>
      </c>
      <c r="CB48" s="48">
        <f t="shared" si="20"/>
        <v>0.12</v>
      </c>
      <c r="CC48" s="48">
        <f t="shared" si="20"/>
        <v>0.12</v>
      </c>
      <c r="CD48" s="48">
        <v>0.11</v>
      </c>
      <c r="CE48" s="48">
        <f t="shared" ref="CE48:CS48" si="21">CD48</f>
        <v>0.11</v>
      </c>
      <c r="CF48" s="48">
        <f t="shared" si="21"/>
        <v>0.11</v>
      </c>
      <c r="CG48" s="48">
        <f t="shared" si="21"/>
        <v>0.11</v>
      </c>
      <c r="CH48" s="48">
        <f t="shared" si="21"/>
        <v>0.11</v>
      </c>
      <c r="CI48" s="48">
        <f t="shared" si="21"/>
        <v>0.11</v>
      </c>
      <c r="CJ48" s="48">
        <f t="shared" si="21"/>
        <v>0.11</v>
      </c>
      <c r="CK48" s="48">
        <f t="shared" si="21"/>
        <v>0.11</v>
      </c>
      <c r="CL48" s="48">
        <f t="shared" si="21"/>
        <v>0.11</v>
      </c>
      <c r="CM48" s="48">
        <f t="shared" si="21"/>
        <v>0.11</v>
      </c>
      <c r="CN48" s="48">
        <f t="shared" si="21"/>
        <v>0.11</v>
      </c>
      <c r="CO48" s="48">
        <f t="shared" si="21"/>
        <v>0.11</v>
      </c>
      <c r="CP48" s="48">
        <f t="shared" si="21"/>
        <v>0.11</v>
      </c>
      <c r="CQ48" s="48">
        <f t="shared" si="21"/>
        <v>0.11</v>
      </c>
      <c r="CR48" s="48">
        <f t="shared" si="21"/>
        <v>0.11</v>
      </c>
      <c r="CS48" s="48">
        <f t="shared" si="21"/>
        <v>0.11</v>
      </c>
      <c r="CU48" s="38"/>
    </row>
    <row r="49" spans="1:99" s="26" customFormat="1">
      <c r="A49" s="112" t="s">
        <v>61</v>
      </c>
      <c r="B49" s="111">
        <f>NPV((POWER((B48+1),(1/12))-1),C29:CS29)</f>
        <v>15936971.089256665</v>
      </c>
      <c r="C49" s="111">
        <f t="shared" ref="C49:BN49" si="22">NPV((POWER((C48+1),(1/12))-1),D29:CT29)</f>
        <v>20496493.496937398</v>
      </c>
      <c r="D49" s="111">
        <f t="shared" si="22"/>
        <v>22988372.090350509</v>
      </c>
      <c r="E49" s="111">
        <f t="shared" si="22"/>
        <v>26512744.162390824</v>
      </c>
      <c r="F49" s="111">
        <f t="shared" si="22"/>
        <v>28021599.203527182</v>
      </c>
      <c r="G49" s="111">
        <f t="shared" si="22"/>
        <v>29785844.580408897</v>
      </c>
      <c r="H49" s="111">
        <f t="shared" si="22"/>
        <v>32364864.665072005</v>
      </c>
      <c r="I49" s="111">
        <f t="shared" si="22"/>
        <v>35124032.211241581</v>
      </c>
      <c r="J49" s="111">
        <f t="shared" si="22"/>
        <v>38071680.367379084</v>
      </c>
      <c r="K49" s="111">
        <f t="shared" si="22"/>
        <v>45174499.560073256</v>
      </c>
      <c r="L49" s="111">
        <f t="shared" si="22"/>
        <v>48493678.978065684</v>
      </c>
      <c r="M49" s="111">
        <f t="shared" si="22"/>
        <v>51188809.395733111</v>
      </c>
      <c r="N49" s="111">
        <f t="shared" si="22"/>
        <v>55417232.963093445</v>
      </c>
      <c r="O49" s="111">
        <f t="shared" si="22"/>
        <v>54710391.456318662</v>
      </c>
      <c r="P49" s="111">
        <f t="shared" si="22"/>
        <v>58992728.58034794</v>
      </c>
      <c r="Q49" s="111">
        <f t="shared" si="22"/>
        <v>59936324.677155465</v>
      </c>
      <c r="R49" s="111">
        <f t="shared" si="22"/>
        <v>65900726.378806837</v>
      </c>
      <c r="S49" s="111">
        <f t="shared" si="22"/>
        <v>67149360.960361838</v>
      </c>
      <c r="T49" s="111">
        <f t="shared" si="22"/>
        <v>71526710.183000058</v>
      </c>
      <c r="U49" s="111">
        <f t="shared" si="22"/>
        <v>70964853.915427551</v>
      </c>
      <c r="V49" s="111">
        <f t="shared" si="22"/>
        <v>71395194.346217051</v>
      </c>
      <c r="W49" s="111">
        <f t="shared" si="22"/>
        <v>70831511.53010568</v>
      </c>
      <c r="X49" s="111">
        <f t="shared" si="22"/>
        <v>71804873.809196651</v>
      </c>
      <c r="Y49" s="111">
        <f t="shared" si="22"/>
        <v>71195266.074607491</v>
      </c>
      <c r="Z49" s="111">
        <f t="shared" si="22"/>
        <v>70577630.043211073</v>
      </c>
      <c r="AA49" s="111">
        <f t="shared" si="22"/>
        <v>69951859.985460371</v>
      </c>
      <c r="AB49" s="111">
        <f t="shared" si="22"/>
        <v>69317848.779391393</v>
      </c>
      <c r="AC49" s="111">
        <f t="shared" si="22"/>
        <v>68675487.892285481</v>
      </c>
      <c r="AD49" s="111">
        <f t="shared" si="22"/>
        <v>68024667.362090334</v>
      </c>
      <c r="AE49" s="111">
        <f t="shared" si="22"/>
        <v>67365275.778596133</v>
      </c>
      <c r="AF49" s="111">
        <f t="shared" si="22"/>
        <v>66697200.264363974</v>
      </c>
      <c r="AG49" s="111">
        <f t="shared" si="22"/>
        <v>66020326.455402918</v>
      </c>
      <c r="AH49" s="111">
        <f t="shared" si="22"/>
        <v>65334538.481592759</v>
      </c>
      <c r="AI49" s="111">
        <f t="shared" si="22"/>
        <v>65899006.734478377</v>
      </c>
      <c r="AJ49" s="111">
        <f t="shared" si="22"/>
        <v>65163878.962061077</v>
      </c>
      <c r="AK49" s="111">
        <f t="shared" si="22"/>
        <v>64419602.423127443</v>
      </c>
      <c r="AL49" s="111">
        <f t="shared" si="22"/>
        <v>63666063.260016374</v>
      </c>
      <c r="AM49" s="111">
        <f t="shared" si="22"/>
        <v>62903146.198092483</v>
      </c>
      <c r="AN49" s="111">
        <f t="shared" si="22"/>
        <v>62130734.528111652</v>
      </c>
      <c r="AO49" s="111">
        <f t="shared" si="22"/>
        <v>61348710.088367105</v>
      </c>
      <c r="AP49" s="111">
        <f t="shared" si="22"/>
        <v>61636148.909973457</v>
      </c>
      <c r="AQ49" s="111">
        <f t="shared" si="22"/>
        <v>60802961.273713499</v>
      </c>
      <c r="AR49" s="111">
        <f t="shared" si="22"/>
        <v>59960012.913516119</v>
      </c>
      <c r="AS49" s="111">
        <f t="shared" si="22"/>
        <v>59107189.483311303</v>
      </c>
      <c r="AT49" s="111">
        <f t="shared" si="22"/>
        <v>59229402.798632696</v>
      </c>
      <c r="AU49" s="111">
        <f t="shared" si="22"/>
        <v>58324423.643056072</v>
      </c>
      <c r="AV49" s="111">
        <f t="shared" si="22"/>
        <v>58359962.959051862</v>
      </c>
      <c r="AW49" s="111">
        <f t="shared" si="22"/>
        <v>57402134.816612616</v>
      </c>
      <c r="AX49" s="111">
        <f t="shared" si="22"/>
        <v>56434501.536557332</v>
      </c>
      <c r="AY49" s="111">
        <f t="shared" si="22"/>
        <v>55456962.745218329</v>
      </c>
      <c r="AZ49" s="111">
        <f t="shared" si="22"/>
        <v>54469417.041418321</v>
      </c>
      <c r="BA49" s="111">
        <f t="shared" si="22"/>
        <v>53471761.985951923</v>
      </c>
      <c r="BB49" s="111">
        <f t="shared" si="22"/>
        <v>52463894.090959571</v>
      </c>
      <c r="BC49" s="111">
        <f t="shared" si="22"/>
        <v>51445708.809192576</v>
      </c>
      <c r="BD49" s="111">
        <f t="shared" si="22"/>
        <v>50417100.52316834</v>
      </c>
      <c r="BE49" s="111">
        <f t="shared" si="22"/>
        <v>49377962.534214549</v>
      </c>
      <c r="BF49" s="111">
        <f t="shared" si="22"/>
        <v>48328187.051401168</v>
      </c>
      <c r="BG49" s="111">
        <f t="shared" si="22"/>
        <v>47267665.180359192</v>
      </c>
      <c r="BH49" s="111">
        <f t="shared" si="22"/>
        <v>46196286.911984921</v>
      </c>
      <c r="BI49" s="111">
        <f t="shared" si="22"/>
        <v>45113941.111028567</v>
      </c>
      <c r="BJ49" s="111">
        <f t="shared" si="22"/>
        <v>44020515.504566096</v>
      </c>
      <c r="BK49" s="111">
        <f t="shared" si="22"/>
        <v>42915896.670353033</v>
      </c>
      <c r="BL49" s="111">
        <f t="shared" si="22"/>
        <v>41799970.025059015</v>
      </c>
      <c r="BM49" s="111">
        <f t="shared" si="22"/>
        <v>40672619.812381983</v>
      </c>
      <c r="BN49" s="111">
        <f t="shared" si="22"/>
        <v>39965786.241532035</v>
      </c>
      <c r="BO49" s="111">
        <f t="shared" ref="BO49:CS49" si="23">NPV((POWER((BO48+1),(1/12))-1),BP29:FF29)</f>
        <v>38789763.311645739</v>
      </c>
      <c r="BP49" s="111">
        <f t="shared" si="23"/>
        <v>37602581.343691438</v>
      </c>
      <c r="BQ49" s="111">
        <f t="shared" si="23"/>
        <v>36404134.451867543</v>
      </c>
      <c r="BR49" s="111">
        <f t="shared" si="23"/>
        <v>35194315.745644033</v>
      </c>
      <c r="BS49" s="111">
        <f t="shared" si="23"/>
        <v>33973017.320228793</v>
      </c>
      <c r="BT49" s="111">
        <f t="shared" si="23"/>
        <v>32740130.24694344</v>
      </c>
      <c r="BU49" s="111">
        <f t="shared" si="23"/>
        <v>31495544.563507967</v>
      </c>
      <c r="BV49" s="111">
        <f t="shared" si="23"/>
        <v>30239149.264233027</v>
      </c>
      <c r="BW49" s="111">
        <f t="shared" si="23"/>
        <v>28970832.290119283</v>
      </c>
      <c r="BX49" s="111">
        <f t="shared" si="23"/>
        <v>27690480.518862758</v>
      </c>
      <c r="BY49" s="111">
        <f t="shared" si="23"/>
        <v>26397979.754765354</v>
      </c>
      <c r="BZ49" s="111">
        <f t="shared" si="23"/>
        <v>25093214.718549639</v>
      </c>
      <c r="CA49" s="111">
        <f t="shared" si="23"/>
        <v>23776069.037076991</v>
      </c>
      <c r="CB49" s="111">
        <f t="shared" si="23"/>
        <v>22446425.232968159</v>
      </c>
      <c r="CC49" s="111">
        <f t="shared" si="23"/>
        <v>21104164.714125399</v>
      </c>
      <c r="CD49" s="111">
        <f t="shared" si="23"/>
        <v>19858337.475119118</v>
      </c>
      <c r="CE49" s="111">
        <f t="shared" si="23"/>
        <v>18476541.986975301</v>
      </c>
      <c r="CF49" s="111">
        <f t="shared" si="23"/>
        <v>17082677.076495335</v>
      </c>
      <c r="CG49" s="111">
        <f t="shared" si="23"/>
        <v>15676637.322177423</v>
      </c>
      <c r="CH49" s="111">
        <f t="shared" si="23"/>
        <v>14258316.381705778</v>
      </c>
      <c r="CI49" s="111">
        <f t="shared" si="23"/>
        <v>12827606.983907672</v>
      </c>
      <c r="CJ49" s="111">
        <f t="shared" si="23"/>
        <v>11384400.920640264</v>
      </c>
      <c r="CK49" s="111">
        <f t="shared" si="23"/>
        <v>9928589.0386065263</v>
      </c>
      <c r="CL49" s="111">
        <f t="shared" si="23"/>
        <v>8460061.2310997266</v>
      </c>
      <c r="CM49" s="111">
        <f t="shared" si="23"/>
        <v>6978706.4296757607</v>
      </c>
      <c r="CN49" s="111">
        <f t="shared" si="23"/>
        <v>5484412.5957527878</v>
      </c>
      <c r="CO49" s="111">
        <f t="shared" si="23"/>
        <v>3977066.7121374607</v>
      </c>
      <c r="CP49" s="111">
        <f t="shared" si="23"/>
        <v>2456554.7744771503</v>
      </c>
      <c r="CQ49" s="111">
        <f t="shared" si="23"/>
        <v>2782761.7826375156</v>
      </c>
      <c r="CR49" s="111">
        <f t="shared" si="23"/>
        <v>2807068.0765165575</v>
      </c>
      <c r="CS49" s="111">
        <f t="shared" si="23"/>
        <v>0</v>
      </c>
      <c r="CU49" s="38"/>
    </row>
    <row r="50" spans="1:99">
      <c r="A50" s="84"/>
      <c r="B50" s="48"/>
      <c r="C50" s="49"/>
      <c r="CS50" s="1"/>
      <c r="CU50" s="38"/>
    </row>
    <row r="51" spans="1:99">
      <c r="A51" s="85" t="s">
        <v>62</v>
      </c>
      <c r="B51" s="133">
        <f>B49/B53</f>
        <v>15936.971089256665</v>
      </c>
      <c r="C51" s="37">
        <f t="shared" ref="C51:BN51" si="24">C49/C53</f>
        <v>20496.493496937397</v>
      </c>
      <c r="D51" s="37">
        <f t="shared" si="24"/>
        <v>22988.372090350509</v>
      </c>
      <c r="E51" s="37">
        <f t="shared" si="24"/>
        <v>26512.744162390823</v>
      </c>
      <c r="F51" s="37">
        <f t="shared" si="24"/>
        <v>28021.599203527181</v>
      </c>
      <c r="G51" s="37">
        <f t="shared" si="24"/>
        <v>29785.844580408899</v>
      </c>
      <c r="H51" s="37">
        <f t="shared" si="24"/>
        <v>33098.261790088443</v>
      </c>
      <c r="I51" s="37">
        <f t="shared" si="24"/>
        <v>35919.952864990191</v>
      </c>
      <c r="J51" s="117">
        <f t="shared" si="24"/>
        <v>38934.395574593087</v>
      </c>
      <c r="K51" s="37">
        <f t="shared" si="24"/>
        <v>46198.16668935895</v>
      </c>
      <c r="L51" s="37">
        <f t="shared" si="24"/>
        <v>52857.037078700101</v>
      </c>
      <c r="M51" s="37">
        <f t="shared" si="24"/>
        <v>54625.696291600114</v>
      </c>
      <c r="N51" s="37">
        <f t="shared" si="24"/>
        <v>58755.366432402028</v>
      </c>
      <c r="O51" s="37">
        <f t="shared" si="24"/>
        <v>54611.294690694929</v>
      </c>
      <c r="P51" s="37">
        <f t="shared" si="24"/>
        <v>60608.799014429038</v>
      </c>
      <c r="Q51" s="37">
        <f t="shared" si="24"/>
        <v>58180.899335109498</v>
      </c>
      <c r="R51" s="37">
        <f t="shared" si="24"/>
        <v>65674.767872271885</v>
      </c>
      <c r="S51" s="37">
        <f t="shared" si="24"/>
        <v>63594.900837553942</v>
      </c>
      <c r="T51" s="37">
        <f t="shared" si="24"/>
        <v>67405.890503285729</v>
      </c>
      <c r="U51" s="37">
        <f t="shared" si="24"/>
        <v>63803.601542892648</v>
      </c>
      <c r="V51" s="37">
        <f t="shared" si="24"/>
        <v>65628.821880237287</v>
      </c>
      <c r="W51" s="37">
        <f t="shared" si="24"/>
        <v>65621.009398287599</v>
      </c>
      <c r="X51" s="37">
        <f t="shared" si="24"/>
        <v>68016.203458503238</v>
      </c>
      <c r="Y51" s="37">
        <f t="shared" si="24"/>
        <v>68931.781268540188</v>
      </c>
      <c r="Z51" s="37">
        <f t="shared" si="24"/>
        <v>69859.859759057304</v>
      </c>
      <c r="AA51" s="37">
        <f t="shared" si="24"/>
        <v>70800.617501310509</v>
      </c>
      <c r="AB51" s="37">
        <f t="shared" si="24"/>
        <v>71754.236043082448</v>
      </c>
      <c r="AC51" s="37">
        <f t="shared" si="24"/>
        <v>72720.899985547469</v>
      </c>
      <c r="AD51" s="37">
        <f t="shared" si="24"/>
        <v>73700.797064029364</v>
      </c>
      <c r="AE51" s="37">
        <f t="shared" si="24"/>
        <v>74694.118232971232</v>
      </c>
      <c r="AF51" s="37">
        <f t="shared" si="24"/>
        <v>75701.057755471324</v>
      </c>
      <c r="AG51" s="37">
        <f t="shared" si="24"/>
        <v>76721.813297775778</v>
      </c>
      <c r="AH51" s="37">
        <f t="shared" si="24"/>
        <v>77756.58602916298</v>
      </c>
      <c r="AI51" s="37">
        <f t="shared" si="24"/>
        <v>80340.842746540075</v>
      </c>
      <c r="AJ51" s="37">
        <f t="shared" si="24"/>
        <v>81364.863013044931</v>
      </c>
      <c r="AK51" s="37">
        <f t="shared" si="24"/>
        <v>82402.218253105777</v>
      </c>
      <c r="AL51" s="37">
        <f t="shared" si="24"/>
        <v>83453.096036949733</v>
      </c>
      <c r="AM51" s="37">
        <f t="shared" si="24"/>
        <v>84517.687422956747</v>
      </c>
      <c r="AN51" s="37">
        <f t="shared" si="24"/>
        <v>85596.187084389749</v>
      </c>
      <c r="AO51" s="37">
        <f t="shared" si="24"/>
        <v>86688.793445356496</v>
      </c>
      <c r="AP51" s="37">
        <f t="shared" si="24"/>
        <v>89360.330941333887</v>
      </c>
      <c r="AQ51" s="37">
        <f t="shared" si="24"/>
        <v>90434.278451353268</v>
      </c>
      <c r="AR51" s="37">
        <f t="shared" si="24"/>
        <v>91521.518505870699</v>
      </c>
      <c r="AS51" s="37">
        <f t="shared" si="24"/>
        <v>92622.236034708534</v>
      </c>
      <c r="AT51" s="37">
        <f t="shared" si="24"/>
        <v>95321.891416023995</v>
      </c>
      <c r="AU51" s="37">
        <f t="shared" si="24"/>
        <v>96396.637100447828</v>
      </c>
      <c r="AV51" s="37">
        <f t="shared" si="24"/>
        <v>99097.869663061909</v>
      </c>
      <c r="AW51" s="37">
        <f t="shared" si="24"/>
        <v>100140.09363164523</v>
      </c>
      <c r="AX51" s="37">
        <f t="shared" si="24"/>
        <v>101193.76016198104</v>
      </c>
      <c r="AY51" s="37">
        <f t="shared" si="24"/>
        <v>102259.02194772508</v>
      </c>
      <c r="AZ51" s="37">
        <f t="shared" si="24"/>
        <v>103336.03570347225</v>
      </c>
      <c r="BA51" s="37">
        <f t="shared" si="24"/>
        <v>104424.962437428</v>
      </c>
      <c r="BB51" s="37">
        <f t="shared" si="24"/>
        <v>105525.96775476926</v>
      </c>
      <c r="BC51" s="37">
        <f t="shared" si="24"/>
        <v>106639.22219614113</v>
      </c>
      <c r="BD51" s="37">
        <f t="shared" si="24"/>
        <v>107764.90161651297</v>
      </c>
      <c r="BE51" s="37">
        <f t="shared" si="24"/>
        <v>108903.18761055496</v>
      </c>
      <c r="BF51" s="37">
        <f t="shared" si="24"/>
        <v>110054.26799183081</v>
      </c>
      <c r="BG51" s="37">
        <f t="shared" si="24"/>
        <v>111218.33733448527</v>
      </c>
      <c r="BH51" s="37">
        <f t="shared" si="24"/>
        <v>112395.59758779375</v>
      </c>
      <c r="BI51" s="37">
        <f t="shared" si="24"/>
        <v>113586.25877602027</v>
      </c>
      <c r="BJ51" s="37">
        <f t="shared" si="24"/>
        <v>114790.53979860018</v>
      </c>
      <c r="BK51" s="37">
        <f t="shared" si="24"/>
        <v>116008.66934886033</v>
      </c>
      <c r="BL51" s="37">
        <f t="shared" si="24"/>
        <v>117240.88697349071</v>
      </c>
      <c r="BM51" s="37">
        <f t="shared" si="24"/>
        <v>118487.44430002387</v>
      </c>
      <c r="BN51" s="37">
        <f t="shared" si="24"/>
        <v>121057.31785937349</v>
      </c>
      <c r="BO51" s="37">
        <f t="shared" ref="BO51:CS51" si="25">BO49/BO53</f>
        <v>122252.51627261497</v>
      </c>
      <c r="BP51" s="37">
        <f t="shared" si="25"/>
        <v>123460.99837900046</v>
      </c>
      <c r="BQ51" s="37">
        <f t="shared" si="25"/>
        <v>124683.03802293826</v>
      </c>
      <c r="BR51" s="37">
        <f t="shared" si="25"/>
        <v>125918.92903677351</v>
      </c>
      <c r="BS51" s="37">
        <f t="shared" si="25"/>
        <v>127168.9882667122</v>
      </c>
      <c r="BT51" s="37">
        <f t="shared" si="25"/>
        <v>128433.55922991414</v>
      </c>
      <c r="BU51" s="37">
        <f t="shared" si="25"/>
        <v>129713.01656905276</v>
      </c>
      <c r="BV51" s="37">
        <f t="shared" si="25"/>
        <v>131007.77152427413</v>
      </c>
      <c r="BW51" s="37">
        <f t="shared" si="25"/>
        <v>132318.27871689099</v>
      </c>
      <c r="BX51" s="37">
        <f t="shared" si="25"/>
        <v>133645.04464382766</v>
      </c>
      <c r="BY51" s="37">
        <f t="shared" si="25"/>
        <v>134988.63843141604</v>
      </c>
      <c r="BZ51" s="37">
        <f t="shared" si="25"/>
        <v>136349.70561455429</v>
      </c>
      <c r="CA51" s="37">
        <f t="shared" si="25"/>
        <v>137728.98602919324</v>
      </c>
      <c r="CB51" s="37">
        <f t="shared" si="25"/>
        <v>139127.33739284673</v>
      </c>
      <c r="CC51" s="37">
        <f t="shared" si="25"/>
        <v>140545.7669007917</v>
      </c>
      <c r="CD51" s="37">
        <f t="shared" si="25"/>
        <v>142770.34355255845</v>
      </c>
      <c r="CE51" s="37">
        <f t="shared" si="25"/>
        <v>144123.34808155458</v>
      </c>
      <c r="CF51" s="37">
        <f t="shared" si="25"/>
        <v>145497.90975509418</v>
      </c>
      <c r="CG51" s="37">
        <f t="shared" si="25"/>
        <v>146896.06662640552</v>
      </c>
      <c r="CH51" s="37">
        <f t="shared" si="25"/>
        <v>148320.4550234279</v>
      </c>
      <c r="CI51" s="37">
        <f t="shared" si="25"/>
        <v>149774.58572167245</v>
      </c>
      <c r="CJ51" s="37">
        <f t="shared" si="25"/>
        <v>151263.30136745141</v>
      </c>
      <c r="CK51" s="37">
        <f t="shared" si="25"/>
        <v>152793.57983471532</v>
      </c>
      <c r="CL51" s="37">
        <f t="shared" si="25"/>
        <v>154376.05418348557</v>
      </c>
      <c r="CM51" s="37">
        <f t="shared" si="25"/>
        <v>156028.18467590111</v>
      </c>
      <c r="CN51" s="37">
        <f t="shared" si="25"/>
        <v>157781.84123443087</v>
      </c>
      <c r="CO51" s="37">
        <f t="shared" si="25"/>
        <v>159705.50804680772</v>
      </c>
      <c r="CP51" s="37">
        <f t="shared" si="25"/>
        <v>161996.29242645029</v>
      </c>
      <c r="CQ51" s="37">
        <f t="shared" si="25"/>
        <v>500160.54974834225</v>
      </c>
      <c r="CR51" s="37">
        <f t="shared" si="25"/>
        <v>454730.15527480358</v>
      </c>
      <c r="CS51" s="37">
        <f t="shared" si="25"/>
        <v>0</v>
      </c>
      <c r="CU51" s="38"/>
    </row>
    <row r="52" spans="1:99">
      <c r="A52" s="86"/>
      <c r="B52" s="48"/>
      <c r="C52" s="49"/>
      <c r="CS52" s="1"/>
      <c r="CU52" s="38"/>
    </row>
    <row r="53" spans="1:99" s="126" customFormat="1">
      <c r="A53" s="124" t="s">
        <v>144</v>
      </c>
      <c r="B53" s="125">
        <v>1000</v>
      </c>
      <c r="C53" s="53">
        <f>B53</f>
        <v>1000</v>
      </c>
      <c r="D53" s="127">
        <f>C53+C54</f>
        <v>1000</v>
      </c>
      <c r="E53" s="127">
        <f t="shared" ref="E53:BP53" si="26">D53+D54</f>
        <v>1000</v>
      </c>
      <c r="F53" s="127">
        <f t="shared" si="26"/>
        <v>1000</v>
      </c>
      <c r="G53" s="127">
        <f t="shared" si="26"/>
        <v>1000</v>
      </c>
      <c r="H53" s="127">
        <f t="shared" si="26"/>
        <v>977.84182354748123</v>
      </c>
      <c r="I53" s="127">
        <f t="shared" si="26"/>
        <v>977.84182354748123</v>
      </c>
      <c r="J53" s="162">
        <f t="shared" si="26"/>
        <v>977.84182354748123</v>
      </c>
      <c r="K53" s="127">
        <f t="shared" si="26"/>
        <v>977.84182354748123</v>
      </c>
      <c r="L53" s="127">
        <f t="shared" si="26"/>
        <v>917.44981667932484</v>
      </c>
      <c r="M53" s="127">
        <f t="shared" si="26"/>
        <v>937.08296407755813</v>
      </c>
      <c r="N53" s="127">
        <f t="shared" si="26"/>
        <v>943.18589650616673</v>
      </c>
      <c r="O53" s="127">
        <f t="shared" si="26"/>
        <v>1001.8145837080954</v>
      </c>
      <c r="P53" s="127">
        <f t="shared" si="26"/>
        <v>973.33604261492849</v>
      </c>
      <c r="Q53" s="127">
        <f t="shared" si="26"/>
        <v>1030.171849560714</v>
      </c>
      <c r="R53" s="127">
        <f t="shared" si="26"/>
        <v>1003.4405680271974</v>
      </c>
      <c r="S53" s="127">
        <f t="shared" si="26"/>
        <v>1055.892218967168</v>
      </c>
      <c r="T53" s="127">
        <f t="shared" si="26"/>
        <v>1061.1344149442466</v>
      </c>
      <c r="U53" s="127">
        <f t="shared" si="26"/>
        <v>1112.2389990433483</v>
      </c>
      <c r="V53" s="127">
        <f t="shared" si="26"/>
        <v>1087.8634158099399</v>
      </c>
      <c r="W53" s="127">
        <f t="shared" si="26"/>
        <v>1079.402956150718</v>
      </c>
      <c r="X53" s="127">
        <f t="shared" si="26"/>
        <v>1055.702467324641</v>
      </c>
      <c r="Y53" s="127">
        <f t="shared" si="26"/>
        <v>1032.8365924166294</v>
      </c>
      <c r="Z53" s="127">
        <f t="shared" si="26"/>
        <v>1010.2744306477183</v>
      </c>
      <c r="AA53" s="127">
        <f t="shared" si="26"/>
        <v>988.01200405018471</v>
      </c>
      <c r="AB53" s="127">
        <f t="shared" si="26"/>
        <v>966.04538772835372</v>
      </c>
      <c r="AC53" s="127">
        <f t="shared" si="26"/>
        <v>944.37070918998563</v>
      </c>
      <c r="AD53" s="127">
        <f t="shared" si="26"/>
        <v>922.98414768828411</v>
      </c>
      <c r="AE53" s="127">
        <f t="shared" si="26"/>
        <v>901.88193357452303</v>
      </c>
      <c r="AF53" s="127">
        <f t="shared" si="26"/>
        <v>881.06034766130335</v>
      </c>
      <c r="AG53" s="127">
        <f t="shared" si="26"/>
        <v>860.51572059646435</v>
      </c>
      <c r="AH53" s="127">
        <f t="shared" si="26"/>
        <v>840.24443224769061</v>
      </c>
      <c r="AI53" s="127">
        <f t="shared" si="26"/>
        <v>820.24291109787191</v>
      </c>
      <c r="AJ53" s="127">
        <f t="shared" si="26"/>
        <v>800.88476215603771</v>
      </c>
      <c r="AK53" s="127">
        <f t="shared" si="26"/>
        <v>781.77024585984907</v>
      </c>
      <c r="AL53" s="127">
        <f t="shared" si="26"/>
        <v>762.89636075128431</v>
      </c>
      <c r="AM53" s="127">
        <f t="shared" si="26"/>
        <v>744.26014383595987</v>
      </c>
      <c r="AN53" s="127">
        <f t="shared" si="26"/>
        <v>725.85867016315365</v>
      </c>
      <c r="AO53" s="127">
        <f t="shared" si="26"/>
        <v>707.68905241526647</v>
      </c>
      <c r="AP53" s="127">
        <f t="shared" si="26"/>
        <v>689.74844050698869</v>
      </c>
      <c r="AQ53" s="127">
        <f t="shared" si="26"/>
        <v>672.34418535689258</v>
      </c>
      <c r="AR53" s="127">
        <f t="shared" si="26"/>
        <v>655.14661352204234</v>
      </c>
      <c r="AS53" s="127">
        <f t="shared" si="26"/>
        <v>638.15334215384235</v>
      </c>
      <c r="AT53" s="127">
        <f t="shared" si="26"/>
        <v>621.36201788245251</v>
      </c>
      <c r="AU53" s="127">
        <f t="shared" si="26"/>
        <v>605.04624847317541</v>
      </c>
      <c r="AV53" s="127">
        <f t="shared" si="26"/>
        <v>588.91238689064539</v>
      </c>
      <c r="AW53" s="127">
        <f t="shared" si="26"/>
        <v>573.21830582424172</v>
      </c>
      <c r="AX53" s="127">
        <f t="shared" si="26"/>
        <v>557.68756340531786</v>
      </c>
      <c r="AY53" s="127">
        <f t="shared" si="26"/>
        <v>542.3185327703211</v>
      </c>
      <c r="AZ53" s="127">
        <f t="shared" si="26"/>
        <v>527.1096057692879</v>
      </c>
      <c r="BA53" s="127">
        <f t="shared" si="26"/>
        <v>512.05919291560667</v>
      </c>
      <c r="BB53" s="127">
        <f t="shared" si="26"/>
        <v>497.16572334953509</v>
      </c>
      <c r="BC53" s="127">
        <f t="shared" si="26"/>
        <v>482.42764481691995</v>
      </c>
      <c r="BD53" s="127">
        <f t="shared" si="26"/>
        <v>467.84342366478671</v>
      </c>
      <c r="BE53" s="127">
        <f t="shared" si="26"/>
        <v>453.41154485572474</v>
      </c>
      <c r="BF53" s="127">
        <f t="shared" si="26"/>
        <v>439.13051200330102</v>
      </c>
      <c r="BG53" s="127">
        <f t="shared" si="26"/>
        <v>424.99884743109703</v>
      </c>
      <c r="BH53" s="127">
        <f t="shared" si="26"/>
        <v>411.01509225839885</v>
      </c>
      <c r="BI53" s="127">
        <f t="shared" si="26"/>
        <v>397.17780651608876</v>
      </c>
      <c r="BJ53" s="127">
        <f t="shared" si="26"/>
        <v>383.48556929691262</v>
      </c>
      <c r="BK53" s="127">
        <f t="shared" si="26"/>
        <v>369.93697894505362</v>
      </c>
      <c r="BL53" s="127">
        <f t="shared" si="26"/>
        <v>356.53065329086422</v>
      </c>
      <c r="BM53" s="127">
        <f t="shared" si="26"/>
        <v>343.26522993773267</v>
      </c>
      <c r="BN53" s="127">
        <f t="shared" si="26"/>
        <v>330.13936660944677</v>
      </c>
      <c r="BO53" s="127">
        <f t="shared" si="26"/>
        <v>317.29214656937734</v>
      </c>
      <c r="BP53" s="127">
        <f t="shared" si="26"/>
        <v>304.57052702796932</v>
      </c>
      <c r="BQ53" s="127">
        <f t="shared" ref="BQ53:CT53" si="27">BP53+BP54</f>
        <v>291.97343142352838</v>
      </c>
      <c r="BR53" s="127">
        <f t="shared" si="27"/>
        <v>279.49980209382056</v>
      </c>
      <c r="BS53" s="127">
        <f t="shared" si="27"/>
        <v>267.14860111159334</v>
      </c>
      <c r="BT53" s="127">
        <f t="shared" si="27"/>
        <v>254.91881127684081</v>
      </c>
      <c r="BU53" s="127">
        <f t="shared" si="27"/>
        <v>242.80943729915728</v>
      </c>
      <c r="BV53" s="127">
        <f t="shared" si="27"/>
        <v>230.8195072124411</v>
      </c>
      <c r="BW53" s="127">
        <f t="shared" si="27"/>
        <v>218.94807407603491</v>
      </c>
      <c r="BX53" s="127">
        <f t="shared" si="27"/>
        <v>207.19421803224807</v>
      </c>
      <c r="BY53" s="127">
        <f t="shared" si="27"/>
        <v>195.5570488117593</v>
      </c>
      <c r="BZ53" s="127">
        <f t="shared" si="27"/>
        <v>184.03570880809536</v>
      </c>
      <c r="CA53" s="127">
        <f t="shared" si="27"/>
        <v>172.62937688394351</v>
      </c>
      <c r="CB53" s="127">
        <f t="shared" si="27"/>
        <v>161.33727313121315</v>
      </c>
      <c r="CC53" s="127">
        <f t="shared" si="27"/>
        <v>150.15866489257115</v>
      </c>
      <c r="CD53" s="127">
        <f t="shared" si="27"/>
        <v>139.09287447927596</v>
      </c>
      <c r="CE53" s="127">
        <f t="shared" si="27"/>
        <v>128.19950572144663</v>
      </c>
      <c r="CF53" s="127">
        <f t="shared" si="27"/>
        <v>117.40840198494492</v>
      </c>
      <c r="CG53" s="127">
        <f t="shared" si="27"/>
        <v>106.71924498868403</v>
      </c>
      <c r="CH53" s="127">
        <f t="shared" si="27"/>
        <v>96.13182739665686</v>
      </c>
      <c r="CI53" s="127">
        <f t="shared" si="27"/>
        <v>85.646085563176499</v>
      </c>
      <c r="CJ53" s="127">
        <f t="shared" si="27"/>
        <v>75.262147644028218</v>
      </c>
      <c r="CK53" s="127">
        <f t="shared" si="27"/>
        <v>64.98040722225889</v>
      </c>
      <c r="CL53" s="127">
        <f t="shared" si="27"/>
        <v>54.801641846891719</v>
      </c>
      <c r="CM53" s="127">
        <f t="shared" si="27"/>
        <v>44.727216715183872</v>
      </c>
      <c r="CN53" s="127">
        <f t="shared" si="27"/>
        <v>34.759466316558544</v>
      </c>
      <c r="CO53" s="127">
        <f t="shared" si="27"/>
        <v>24.902501865945858</v>
      </c>
      <c r="CP53" s="127">
        <f t="shared" si="27"/>
        <v>15.16426541423766</v>
      </c>
      <c r="CQ53" s="127">
        <f t="shared" si="27"/>
        <v>5.5637370521079141</v>
      </c>
      <c r="CR53" s="127">
        <f t="shared" si="27"/>
        <v>6.1730414047869413</v>
      </c>
      <c r="CS53" s="127">
        <f t="shared" si="27"/>
        <v>6.1730414047869413</v>
      </c>
      <c r="CT53" s="127" t="e">
        <f t="shared" si="27"/>
        <v>#DIV/0!</v>
      </c>
      <c r="CU53" s="123"/>
    </row>
    <row r="54" spans="1:99" s="95" customFormat="1">
      <c r="A54" s="84" t="s">
        <v>63</v>
      </c>
      <c r="C54" s="128">
        <f t="shared" ref="C54:AH54" si="28">-C29/C51</f>
        <v>0</v>
      </c>
      <c r="D54" s="128">
        <f t="shared" si="28"/>
        <v>0</v>
      </c>
      <c r="E54" s="128">
        <f t="shared" si="28"/>
        <v>0</v>
      </c>
      <c r="F54" s="128">
        <f t="shared" si="28"/>
        <v>0</v>
      </c>
      <c r="G54" s="128">
        <f t="shared" si="28"/>
        <v>-22.158176452518759</v>
      </c>
      <c r="H54" s="128">
        <f t="shared" si="28"/>
        <v>0</v>
      </c>
      <c r="I54" s="128">
        <f t="shared" si="28"/>
        <v>0</v>
      </c>
      <c r="J54" s="129">
        <f t="shared" si="28"/>
        <v>0</v>
      </c>
      <c r="K54" s="128">
        <f t="shared" si="28"/>
        <v>-60.3920068681564</v>
      </c>
      <c r="L54" s="128">
        <f t="shared" si="28"/>
        <v>19.633147398233262</v>
      </c>
      <c r="M54" s="128">
        <f t="shared" si="28"/>
        <v>6.1029324286086499</v>
      </c>
      <c r="N54" s="128">
        <f t="shared" si="28"/>
        <v>58.628687201928699</v>
      </c>
      <c r="O54" s="128">
        <f t="shared" si="28"/>
        <v>-28.478541093166847</v>
      </c>
      <c r="P54" s="128">
        <f t="shared" si="28"/>
        <v>56.835806945785443</v>
      </c>
      <c r="Q54" s="128">
        <f t="shared" si="28"/>
        <v>-26.731281533516587</v>
      </c>
      <c r="R54" s="128">
        <f>-R29/R51</f>
        <v>52.451650939970591</v>
      </c>
      <c r="S54" s="128">
        <f t="shared" si="28"/>
        <v>5.2421959770785342</v>
      </c>
      <c r="T54" s="128">
        <f t="shared" si="28"/>
        <v>51.104584099101608</v>
      </c>
      <c r="U54" s="128">
        <f t="shared" si="28"/>
        <v>-24.375583233408332</v>
      </c>
      <c r="V54" s="128">
        <f t="shared" si="28"/>
        <v>-8.460459659221792</v>
      </c>
      <c r="W54" s="128">
        <f t="shared" si="28"/>
        <v>-23.700488826076864</v>
      </c>
      <c r="X54" s="128">
        <f t="shared" si="28"/>
        <v>-22.865874908011584</v>
      </c>
      <c r="Y54" s="128">
        <f t="shared" si="28"/>
        <v>-22.562161768911103</v>
      </c>
      <c r="Z54" s="128">
        <f t="shared" si="28"/>
        <v>-22.262426597533533</v>
      </c>
      <c r="AA54" s="128">
        <f t="shared" si="28"/>
        <v>-21.966616321830987</v>
      </c>
      <c r="AB54" s="128">
        <f t="shared" si="28"/>
        <v>-21.674678538368131</v>
      </c>
      <c r="AC54" s="128">
        <f t="shared" si="28"/>
        <v>-21.386561501701575</v>
      </c>
      <c r="AD54" s="128">
        <f t="shared" si="28"/>
        <v>-21.102214113761057</v>
      </c>
      <c r="AE54" s="128">
        <f t="shared" si="28"/>
        <v>-20.821585913219693</v>
      </c>
      <c r="AF54" s="128">
        <f t="shared" si="28"/>
        <v>-20.544627064839048</v>
      </c>
      <c r="AG54" s="128">
        <f t="shared" si="28"/>
        <v>-20.271288348773787</v>
      </c>
      <c r="AH54" s="128">
        <f t="shared" si="28"/>
        <v>-20.001521149818693</v>
      </c>
      <c r="AI54" s="128">
        <f t="shared" ref="AI54:BN54" si="29">-AI29/AI51</f>
        <v>-19.358148941834166</v>
      </c>
      <c r="AJ54" s="128">
        <f t="shared" si="29"/>
        <v>-19.114516296188594</v>
      </c>
      <c r="AK54" s="128">
        <f t="shared" si="29"/>
        <v>-18.873885108564803</v>
      </c>
      <c r="AL54" s="128">
        <f t="shared" si="29"/>
        <v>-18.636216915324468</v>
      </c>
      <c r="AM54" s="128">
        <f t="shared" si="29"/>
        <v>-18.401473672806173</v>
      </c>
      <c r="AN54" s="128">
        <f t="shared" si="29"/>
        <v>-18.169617747887187</v>
      </c>
      <c r="AO54" s="128">
        <f t="shared" si="29"/>
        <v>-17.94061190827783</v>
      </c>
      <c r="AP54" s="128">
        <f t="shared" si="29"/>
        <v>-17.404255150096077</v>
      </c>
      <c r="AQ54" s="128">
        <f t="shared" si="29"/>
        <v>-17.197571834850272</v>
      </c>
      <c r="AR54" s="128">
        <f t="shared" si="29"/>
        <v>-16.993271368200013</v>
      </c>
      <c r="AS54" s="128">
        <f t="shared" si="29"/>
        <v>-16.79132427138984</v>
      </c>
      <c r="AT54" s="128">
        <f t="shared" si="29"/>
        <v>-16.315769409277124</v>
      </c>
      <c r="AU54" s="128">
        <f t="shared" si="29"/>
        <v>-16.133861582529988</v>
      </c>
      <c r="AV54" s="128">
        <f t="shared" si="29"/>
        <v>-15.694081066403685</v>
      </c>
      <c r="AW54" s="128">
        <f t="shared" si="29"/>
        <v>-15.530742418923863</v>
      </c>
      <c r="AX54" s="128">
        <f t="shared" si="29"/>
        <v>-15.369030634996747</v>
      </c>
      <c r="AY54" s="128">
        <f t="shared" si="29"/>
        <v>-15.208927001033175</v>
      </c>
      <c r="AZ54" s="128">
        <f t="shared" si="29"/>
        <v>-15.050412853681218</v>
      </c>
      <c r="BA54" s="128">
        <f t="shared" si="29"/>
        <v>-14.893469566071563</v>
      </c>
      <c r="BB54" s="128">
        <f t="shared" si="29"/>
        <v>-14.738078532615118</v>
      </c>
      <c r="BC54" s="128">
        <f t="shared" si="29"/>
        <v>-14.58422115213326</v>
      </c>
      <c r="BD54" s="128">
        <f t="shared" si="29"/>
        <v>-14.431878809061955</v>
      </c>
      <c r="BE54" s="128">
        <f t="shared" si="29"/>
        <v>-14.281032852423728</v>
      </c>
      <c r="BF54" s="128">
        <f t="shared" si="29"/>
        <v>-14.131664572203999</v>
      </c>
      <c r="BG54" s="128">
        <f t="shared" si="29"/>
        <v>-13.983755172698183</v>
      </c>
      <c r="BH54" s="128">
        <f t="shared" si="29"/>
        <v>-13.837285742310083</v>
      </c>
      <c r="BI54" s="128">
        <f t="shared" si="29"/>
        <v>-13.692237219176164</v>
      </c>
      <c r="BJ54" s="128">
        <f t="shared" si="29"/>
        <v>-13.548590351858993</v>
      </c>
      <c r="BK54" s="128">
        <f t="shared" si="29"/>
        <v>-13.406325654189384</v>
      </c>
      <c r="BL54" s="128">
        <f t="shared" si="29"/>
        <v>-13.265423353131549</v>
      </c>
      <c r="BM54" s="128">
        <f t="shared" si="29"/>
        <v>-13.125863328285888</v>
      </c>
      <c r="BN54" s="128">
        <f t="shared" si="29"/>
        <v>-12.847220040069447</v>
      </c>
      <c r="BO54" s="128">
        <f t="shared" ref="BO54:CT54" si="30">-BO29/BO51</f>
        <v>-12.721619541408016</v>
      </c>
      <c r="BP54" s="128">
        <f t="shared" si="30"/>
        <v>-12.597095604440966</v>
      </c>
      <c r="BQ54" s="128">
        <f t="shared" si="30"/>
        <v>-12.473629329707837</v>
      </c>
      <c r="BR54" s="128">
        <f t="shared" si="30"/>
        <v>-12.351200982227247</v>
      </c>
      <c r="BS54" s="128">
        <f t="shared" si="30"/>
        <v>-12.229789834752525</v>
      </c>
      <c r="BT54" s="128">
        <f t="shared" si="30"/>
        <v>-12.109373977683541</v>
      </c>
      <c r="BU54" s="128">
        <f t="shared" si="30"/>
        <v>-11.989930086716178</v>
      </c>
      <c r="BV54" s="128">
        <f t="shared" si="30"/>
        <v>-11.871433136406196</v>
      </c>
      <c r="BW54" s="128">
        <f t="shared" si="30"/>
        <v>-11.753856043786834</v>
      </c>
      <c r="BX54" s="128">
        <f t="shared" si="30"/>
        <v>-11.637169220488779</v>
      </c>
      <c r="BY54" s="128">
        <f t="shared" si="30"/>
        <v>-11.521340003663932</v>
      </c>
      <c r="BZ54" s="128">
        <f t="shared" si="30"/>
        <v>-11.406331924151869</v>
      </c>
      <c r="CA54" s="128">
        <f t="shared" si="30"/>
        <v>-11.292103752730357</v>
      </c>
      <c r="CB54" s="128">
        <f t="shared" si="30"/>
        <v>-11.178608238641988</v>
      </c>
      <c r="CC54" s="128">
        <f t="shared" si="30"/>
        <v>-11.065790413295181</v>
      </c>
      <c r="CD54" s="128">
        <f t="shared" si="30"/>
        <v>-10.893368757829327</v>
      </c>
      <c r="CE54" s="128">
        <f t="shared" si="30"/>
        <v>-10.791103736501709</v>
      </c>
      <c r="CF54" s="128">
        <f t="shared" si="30"/>
        <v>-10.689156996260886</v>
      </c>
      <c r="CG54" s="128">
        <f t="shared" si="30"/>
        <v>-10.587417592027164</v>
      </c>
      <c r="CH54" s="128">
        <f t="shared" si="30"/>
        <v>-10.485741833480359</v>
      </c>
      <c r="CI54" s="128">
        <f t="shared" si="30"/>
        <v>-10.383937919148286</v>
      </c>
      <c r="CJ54" s="128">
        <f t="shared" si="30"/>
        <v>-10.281740421769323</v>
      </c>
      <c r="CK54" s="128">
        <f t="shared" si="30"/>
        <v>-10.178765375367172</v>
      </c>
      <c r="CL54" s="128">
        <f t="shared" si="30"/>
        <v>-10.074425131707851</v>
      </c>
      <c r="CM54" s="128">
        <f t="shared" si="30"/>
        <v>-9.9677503986253306</v>
      </c>
      <c r="CN54" s="128">
        <f t="shared" si="30"/>
        <v>-9.8569644506126863</v>
      </c>
      <c r="CO54" s="128">
        <f t="shared" si="30"/>
        <v>-9.7382364517081985</v>
      </c>
      <c r="CP54" s="128">
        <f t="shared" si="30"/>
        <v>-9.6005283621297455</v>
      </c>
      <c r="CQ54" s="128">
        <f t="shared" si="30"/>
        <v>0.60930435267902705</v>
      </c>
      <c r="CR54" s="128">
        <f t="shared" si="30"/>
        <v>0</v>
      </c>
      <c r="CS54" s="128" t="e">
        <f t="shared" si="30"/>
        <v>#DIV/0!</v>
      </c>
      <c r="CT54" s="128"/>
      <c r="CU54" s="123"/>
    </row>
    <row r="55" spans="1:99">
      <c r="A55" s="84"/>
      <c r="CS55" s="1"/>
      <c r="CU55" s="38"/>
    </row>
    <row r="56" spans="1:99">
      <c r="CS56" s="1"/>
    </row>
    <row r="57" spans="1:99">
      <c r="CS57" s="1"/>
    </row>
    <row r="58" spans="1:99">
      <c r="CS58" s="1"/>
    </row>
    <row r="59" spans="1:99">
      <c r="CS59" s="1"/>
    </row>
    <row r="60" spans="1:99">
      <c r="CS60" s="1"/>
    </row>
    <row r="61" spans="1:99">
      <c r="CS61" s="1"/>
    </row>
    <row r="62" spans="1:99">
      <c r="CS62" s="1"/>
    </row>
    <row r="63" spans="1:99">
      <c r="CS63" s="1"/>
    </row>
    <row r="64" spans="1:99">
      <c r="AA64" s="23"/>
      <c r="CS64" s="1"/>
    </row>
    <row r="65" spans="27:97">
      <c r="AA65" s="23"/>
      <c r="CS65" s="1"/>
    </row>
    <row r="66" spans="27:97">
      <c r="AA66" s="23"/>
      <c r="CS66" s="1"/>
    </row>
    <row r="67" spans="27:97">
      <c r="AA67" s="23"/>
      <c r="CS67" s="1"/>
    </row>
    <row r="68" spans="27:97">
      <c r="AA68" s="23"/>
      <c r="CS68" s="1"/>
    </row>
    <row r="69" spans="27:97">
      <c r="AA69" s="23"/>
      <c r="CS69" s="1"/>
    </row>
    <row r="70" spans="27:97">
      <c r="AA70" s="23"/>
      <c r="CS70" s="1"/>
    </row>
    <row r="71" spans="27:97">
      <c r="AA71" s="23"/>
      <c r="CS71" s="1"/>
    </row>
    <row r="72" spans="27:97">
      <c r="AA72" s="23"/>
      <c r="CS72" s="1"/>
    </row>
    <row r="73" spans="27:97">
      <c r="AA73" s="23"/>
      <c r="CS73" s="1"/>
    </row>
    <row r="74" spans="27:97">
      <c r="AA74" s="23"/>
      <c r="CS74" s="1"/>
    </row>
    <row r="75" spans="27:97">
      <c r="AA75" s="23"/>
      <c r="CS75" s="1"/>
    </row>
    <row r="76" spans="27:97">
      <c r="AA76" s="23"/>
      <c r="CS76" s="1"/>
    </row>
    <row r="77" spans="27:97">
      <c r="AA77" s="23"/>
      <c r="CS77" s="1"/>
    </row>
    <row r="78" spans="27:97">
      <c r="AA78" s="23"/>
      <c r="CS78" s="1"/>
    </row>
    <row r="79" spans="27:97">
      <c r="AA79" s="23"/>
      <c r="CS79" s="1"/>
    </row>
    <row r="80" spans="27:97">
      <c r="AA80" s="23"/>
      <c r="CS80" s="1"/>
    </row>
    <row r="81" spans="27:97">
      <c r="AA81" s="23"/>
      <c r="CS81" s="1"/>
    </row>
    <row r="82" spans="27:97">
      <c r="AA82" s="23"/>
      <c r="CS82" s="1"/>
    </row>
    <row r="83" spans="27:97">
      <c r="AA83" s="23"/>
      <c r="CS83" s="1"/>
    </row>
    <row r="84" spans="27:97">
      <c r="AA84" s="23"/>
      <c r="CS84" s="1"/>
    </row>
    <row r="85" spans="27:97">
      <c r="AA85" s="23"/>
      <c r="CS85" s="1"/>
    </row>
    <row r="86" spans="27:97">
      <c r="AA86" s="23"/>
      <c r="CS86" s="1"/>
    </row>
    <row r="87" spans="27:97">
      <c r="AA87" s="23"/>
      <c r="CS87" s="1"/>
    </row>
    <row r="88" spans="27:97">
      <c r="AA88" s="23"/>
      <c r="CS88" s="1"/>
    </row>
    <row r="89" spans="27:97">
      <c r="AA89" s="23"/>
      <c r="CS89" s="1"/>
    </row>
    <row r="90" spans="27:97">
      <c r="AA90" s="23"/>
      <c r="CS90" s="1"/>
    </row>
    <row r="91" spans="27:97">
      <c r="AA91" s="23"/>
      <c r="CS91" s="1"/>
    </row>
    <row r="92" spans="27:97">
      <c r="AA92" s="23"/>
      <c r="CS92" s="1"/>
    </row>
    <row r="93" spans="27:97">
      <c r="AA93" s="23"/>
      <c r="CS93" s="1"/>
    </row>
    <row r="94" spans="27:97">
      <c r="AA94" s="23"/>
      <c r="CS94" s="1"/>
    </row>
    <row r="95" spans="27:97">
      <c r="AA95" s="23"/>
      <c r="CS95" s="1"/>
    </row>
    <row r="96" spans="27:97">
      <c r="AA96" s="23"/>
      <c r="CS96" s="1"/>
    </row>
    <row r="97" spans="27:97">
      <c r="AA97" s="23"/>
      <c r="CS97" s="1"/>
    </row>
    <row r="98" spans="27:97">
      <c r="AA98" s="23"/>
      <c r="CS98" s="1"/>
    </row>
    <row r="99" spans="27:97">
      <c r="AA99" s="23"/>
      <c r="CS99" s="1"/>
    </row>
    <row r="100" spans="27:97">
      <c r="AA100" s="23"/>
      <c r="CS100" s="1"/>
    </row>
    <row r="101" spans="27:97">
      <c r="AA101" s="23"/>
      <c r="CS101" s="1"/>
    </row>
    <row r="102" spans="27:97">
      <c r="AA102" s="23"/>
      <c r="CS102" s="1"/>
    </row>
    <row r="103" spans="27:97">
      <c r="AA103" s="23"/>
      <c r="CS103" s="1"/>
    </row>
    <row r="104" spans="27:97">
      <c r="AA104" s="23"/>
      <c r="CS104" s="1"/>
    </row>
    <row r="105" spans="27:97">
      <c r="AA105" s="23"/>
      <c r="CS105" s="1"/>
    </row>
    <row r="106" spans="27:97">
      <c r="AA106" s="23"/>
      <c r="CS106" s="1"/>
    </row>
    <row r="107" spans="27:97">
      <c r="AA107" s="23"/>
      <c r="CS107" s="1"/>
    </row>
  </sheetData>
  <mergeCells count="3">
    <mergeCell ref="B3:O3"/>
    <mergeCell ref="G5:J5"/>
    <mergeCell ref="AT5:AW5"/>
  </mergeCells>
  <phoneticPr fontId="2" type="noConversion"/>
  <pageMargins left="0.75" right="0.75" top="1" bottom="1" header="0" footer="0"/>
  <pageSetup paperSize="257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topLeftCell="A35" workbookViewId="0">
      <selection activeCell="D50" sqref="D50"/>
    </sheetView>
  </sheetViews>
  <sheetFormatPr baseColWidth="10" defaultRowHeight="12.75"/>
  <cols>
    <col min="1" max="1" width="24.7109375" customWidth="1"/>
    <col min="3" max="3" width="19.7109375" customWidth="1"/>
    <col min="4" max="4" width="19" customWidth="1"/>
    <col min="5" max="5" width="16.85546875" bestFit="1" customWidth="1"/>
    <col min="6" max="6" width="22" customWidth="1"/>
    <col min="9" max="9" width="24.85546875" customWidth="1"/>
    <col min="12" max="12" width="16.5703125" customWidth="1"/>
  </cols>
  <sheetData>
    <row r="3" spans="1:11" s="139" customFormat="1" ht="23.25">
      <c r="A3" s="138" t="s">
        <v>99</v>
      </c>
    </row>
    <row r="5" spans="1:11">
      <c r="C5" s="140"/>
      <c r="D5" s="140"/>
    </row>
    <row r="8" spans="1:11" s="137" customFormat="1" ht="15.75">
      <c r="D8" s="141"/>
      <c r="E8" s="142" t="s">
        <v>100</v>
      </c>
      <c r="F8" s="142"/>
      <c r="G8" s="142" t="s">
        <v>101</v>
      </c>
      <c r="H8" s="142"/>
      <c r="I8" s="142" t="s">
        <v>102</v>
      </c>
      <c r="K8" s="142" t="s">
        <v>103</v>
      </c>
    </row>
    <row r="10" spans="1:11">
      <c r="B10" t="s">
        <v>104</v>
      </c>
      <c r="D10" s="98"/>
      <c r="E10" s="98">
        <f>13427.84-2750</f>
        <v>10677.84</v>
      </c>
      <c r="F10" s="98"/>
      <c r="G10" s="143">
        <v>17000</v>
      </c>
      <c r="H10" s="98"/>
      <c r="I10" s="143">
        <f>E10*G10</f>
        <v>181523280</v>
      </c>
    </row>
    <row r="11" spans="1:11">
      <c r="B11" t="s">
        <v>105</v>
      </c>
      <c r="D11" s="98"/>
      <c r="E11" s="98">
        <v>3820</v>
      </c>
      <c r="F11" s="98"/>
      <c r="G11" s="143">
        <f>G10*0.5</f>
        <v>8500</v>
      </c>
      <c r="H11" s="98"/>
      <c r="I11" s="143">
        <f t="shared" ref="I11:I12" si="0">E11*G11</f>
        <v>32470000</v>
      </c>
    </row>
    <row r="12" spans="1:11">
      <c r="B12" t="s">
        <v>106</v>
      </c>
      <c r="E12">
        <v>2750</v>
      </c>
      <c r="G12" s="143">
        <f>G10/2</f>
        <v>8500</v>
      </c>
      <c r="I12" s="143">
        <f t="shared" si="0"/>
        <v>23375000</v>
      </c>
    </row>
    <row r="13" spans="1:11" ht="18.75">
      <c r="B13" s="140" t="s">
        <v>107</v>
      </c>
      <c r="C13" s="140"/>
      <c r="D13" s="140"/>
      <c r="E13" s="144">
        <f>SUM(E10:E12)</f>
        <v>17247.84</v>
      </c>
      <c r="F13" s="144">
        <f t="shared" ref="F13:H13" si="1">SUM(F10:F12)</f>
        <v>0</v>
      </c>
      <c r="G13" s="144"/>
      <c r="H13" s="144">
        <f t="shared" si="1"/>
        <v>0</v>
      </c>
      <c r="I13" s="145">
        <f>SUM(I10:I12)</f>
        <v>237368280</v>
      </c>
      <c r="K13" t="s">
        <v>108</v>
      </c>
    </row>
    <row r="14" spans="1:11">
      <c r="G14" s="143"/>
      <c r="I14" s="143"/>
    </row>
    <row r="15" spans="1:11" ht="18.75">
      <c r="B15" t="s">
        <v>109</v>
      </c>
      <c r="E15" s="98">
        <v>416</v>
      </c>
      <c r="F15" s="98"/>
      <c r="G15" s="143">
        <v>15030</v>
      </c>
      <c r="H15" s="98"/>
      <c r="I15" s="145">
        <f t="shared" ref="I15:I19" si="2">E15*G15</f>
        <v>6252480</v>
      </c>
      <c r="K15" t="s">
        <v>110</v>
      </c>
    </row>
    <row r="16" spans="1:11">
      <c r="E16" s="98"/>
      <c r="F16" s="98"/>
      <c r="G16" s="143"/>
      <c r="H16" s="98"/>
      <c r="I16" s="143">
        <f t="shared" si="2"/>
        <v>0</v>
      </c>
    </row>
    <row r="17" spans="2:11">
      <c r="B17" t="s">
        <v>111</v>
      </c>
      <c r="E17" s="98"/>
      <c r="F17" s="98"/>
      <c r="G17" s="143"/>
      <c r="H17" s="98"/>
      <c r="I17" s="143">
        <f t="shared" si="2"/>
        <v>0</v>
      </c>
    </row>
    <row r="18" spans="2:11">
      <c r="E18" s="98"/>
      <c r="F18" s="98"/>
      <c r="G18" s="143"/>
      <c r="H18" s="98"/>
      <c r="I18" s="143">
        <f t="shared" si="2"/>
        <v>0</v>
      </c>
    </row>
    <row r="19" spans="2:11" ht="18.75">
      <c r="B19" t="s">
        <v>112</v>
      </c>
      <c r="E19" s="98">
        <v>4200</v>
      </c>
      <c r="F19" s="98"/>
      <c r="G19" s="143">
        <v>7017</v>
      </c>
      <c r="H19" s="98"/>
      <c r="I19" s="145">
        <f t="shared" si="2"/>
        <v>29471400</v>
      </c>
    </row>
    <row r="22" spans="2:11" ht="15.75">
      <c r="B22" s="146" t="s">
        <v>113</v>
      </c>
      <c r="C22" s="147"/>
      <c r="D22" s="147"/>
      <c r="E22" s="147"/>
      <c r="F22" s="147"/>
      <c r="G22" s="147"/>
      <c r="H22" s="147"/>
      <c r="I22" s="147"/>
    </row>
    <row r="23" spans="2:11" ht="15.75">
      <c r="B23" s="147"/>
      <c r="C23" s="147"/>
      <c r="D23" s="147"/>
      <c r="E23" s="147"/>
      <c r="F23" s="147"/>
      <c r="G23" s="147"/>
      <c r="H23" s="147"/>
      <c r="I23" s="147"/>
    </row>
    <row r="24" spans="2:11" ht="15.75">
      <c r="B24" s="147"/>
      <c r="C24" s="147"/>
      <c r="D24" s="147"/>
      <c r="E24" s="147"/>
      <c r="F24" s="147"/>
      <c r="G24" s="147"/>
      <c r="H24" s="147"/>
      <c r="I24" s="147"/>
    </row>
    <row r="25" spans="2:11" ht="15.75">
      <c r="B25" s="147"/>
      <c r="C25" s="147"/>
      <c r="D25" s="147"/>
      <c r="E25" s="147"/>
      <c r="F25" s="147"/>
      <c r="G25" s="147"/>
      <c r="H25" s="147"/>
      <c r="I25" s="147"/>
    </row>
    <row r="28" spans="2:11" ht="18.75">
      <c r="B28" s="148" t="s">
        <v>114</v>
      </c>
    </row>
    <row r="30" spans="2:11" ht="15.75">
      <c r="B30" s="149" t="s">
        <v>115</v>
      </c>
      <c r="C30" s="149" t="s">
        <v>116</v>
      </c>
      <c r="D30" s="149" t="s">
        <v>117</v>
      </c>
      <c r="E30" s="149" t="s">
        <v>118</v>
      </c>
      <c r="F30" s="149"/>
      <c r="G30" s="149" t="s">
        <v>119</v>
      </c>
      <c r="K30" s="149" t="s">
        <v>103</v>
      </c>
    </row>
    <row r="32" spans="2:11" ht="14.25">
      <c r="E32" s="154"/>
      <c r="F32" s="99"/>
      <c r="G32" s="99"/>
    </row>
    <row r="33" spans="2:11" ht="18.75">
      <c r="B33" t="s">
        <v>120</v>
      </c>
      <c r="C33" s="150">
        <v>13580</v>
      </c>
      <c r="D33" s="151">
        <v>337.29115977291156</v>
      </c>
      <c r="E33" s="155">
        <f>C33*D33</f>
        <v>4580413.9497161387</v>
      </c>
      <c r="F33" s="99"/>
      <c r="G33" s="99">
        <f>E33/E47</f>
        <v>5.4357259408359795E-2</v>
      </c>
      <c r="I33" s="151"/>
      <c r="K33" t="s">
        <v>121</v>
      </c>
    </row>
    <row r="34" spans="2:11" ht="18.75">
      <c r="B34" t="s">
        <v>122</v>
      </c>
      <c r="C34" s="150">
        <v>13580</v>
      </c>
      <c r="D34" s="151">
        <v>346.71100297377671</v>
      </c>
      <c r="E34" s="155">
        <f t="shared" ref="E34:E46" si="3">C34*D34</f>
        <v>4708335.4203838874</v>
      </c>
      <c r="F34" s="99"/>
      <c r="G34" s="99">
        <f>E34/E47</f>
        <v>5.5875345031476162E-2</v>
      </c>
      <c r="I34" s="151"/>
    </row>
    <row r="35" spans="2:11" ht="18.75">
      <c r="B35" t="s">
        <v>123</v>
      </c>
      <c r="C35" s="150">
        <v>13580</v>
      </c>
      <c r="D35" s="151">
        <v>302.6504460665044</v>
      </c>
      <c r="E35" s="155">
        <f t="shared" si="3"/>
        <v>4109993.05758313</v>
      </c>
      <c r="F35" s="99"/>
      <c r="G35" s="99">
        <f>E35/E47</f>
        <v>4.8774621955609332E-2</v>
      </c>
      <c r="I35" s="151"/>
    </row>
    <row r="36" spans="2:11" ht="18.75">
      <c r="B36" t="s">
        <v>124</v>
      </c>
      <c r="C36" s="150">
        <v>13580</v>
      </c>
      <c r="D36" s="151">
        <v>243.39659367396595</v>
      </c>
      <c r="E36" s="155">
        <f t="shared" si="3"/>
        <v>3305325.7420924576</v>
      </c>
      <c r="F36" s="99"/>
      <c r="G36" s="99">
        <f>E36/E47</f>
        <v>3.9225373681167755E-2</v>
      </c>
      <c r="I36" s="151"/>
    </row>
    <row r="37" spans="2:11" ht="18.75">
      <c r="B37" t="s">
        <v>125</v>
      </c>
      <c r="C37" s="150">
        <v>13580</v>
      </c>
      <c r="D37" s="151">
        <v>163.78372533117059</v>
      </c>
      <c r="E37" s="155">
        <f t="shared" si="3"/>
        <v>2224182.9899972966</v>
      </c>
      <c r="F37" s="99"/>
      <c r="G37" s="99">
        <f>E37/E47</f>
        <v>2.6395101640635979E-2</v>
      </c>
      <c r="I37" s="151"/>
    </row>
    <row r="38" spans="2:11" ht="18.75">
      <c r="B38" t="s">
        <v>126</v>
      </c>
      <c r="C38" s="150">
        <v>13580</v>
      </c>
      <c r="D38" s="151">
        <v>1124</v>
      </c>
      <c r="E38" s="155">
        <f t="shared" si="3"/>
        <v>15263920</v>
      </c>
      <c r="F38" s="99"/>
      <c r="G38" s="99">
        <f>E38/E47</f>
        <v>0.1811418941905612</v>
      </c>
      <c r="I38" s="151"/>
    </row>
    <row r="39" spans="2:11" ht="18.75">
      <c r="B39" t="s">
        <v>127</v>
      </c>
      <c r="C39" s="150">
        <v>13580</v>
      </c>
      <c r="D39" s="151">
        <v>520.82616923492833</v>
      </c>
      <c r="E39" s="155">
        <f t="shared" si="3"/>
        <v>7072819.3782103267</v>
      </c>
      <c r="F39" s="99"/>
      <c r="G39" s="99">
        <f>E39/E47</f>
        <v>8.3935443807142976E-2</v>
      </c>
      <c r="I39" s="151"/>
    </row>
    <row r="40" spans="2:11" ht="18.75">
      <c r="B40" t="s">
        <v>128</v>
      </c>
      <c r="C40" s="150">
        <v>10000</v>
      </c>
      <c r="D40" s="151">
        <v>500</v>
      </c>
      <c r="E40" s="155">
        <f t="shared" si="3"/>
        <v>5000000</v>
      </c>
      <c r="F40" s="99"/>
      <c r="G40" s="99">
        <f>E40/E47</f>
        <v>5.9336623288958931E-2</v>
      </c>
      <c r="I40" s="151"/>
    </row>
    <row r="41" spans="2:11" ht="18.75">
      <c r="B41" t="s">
        <v>129</v>
      </c>
      <c r="C41" s="150">
        <f>5000*14</f>
        <v>70000</v>
      </c>
      <c r="D41" s="151">
        <v>400</v>
      </c>
      <c r="E41" s="155">
        <f t="shared" si="3"/>
        <v>28000000</v>
      </c>
      <c r="F41" s="99"/>
      <c r="G41" s="99">
        <f>E41/E47</f>
        <v>0.33228509041817</v>
      </c>
      <c r="I41" s="151"/>
    </row>
    <row r="42" spans="2:11" ht="18.75">
      <c r="B42" t="s">
        <v>130</v>
      </c>
      <c r="C42" s="150">
        <v>1</v>
      </c>
      <c r="D42" s="151">
        <v>10000000</v>
      </c>
      <c r="E42" s="155">
        <f t="shared" si="3"/>
        <v>10000000</v>
      </c>
      <c r="F42" s="99"/>
      <c r="G42" s="99">
        <f>E42/E47</f>
        <v>0.11867324657791786</v>
      </c>
      <c r="I42" s="151"/>
    </row>
    <row r="43" spans="2:11" ht="18.75">
      <c r="C43" s="150"/>
      <c r="D43" s="143"/>
      <c r="E43" s="155"/>
      <c r="F43" s="99"/>
      <c r="G43" s="99"/>
    </row>
    <row r="44" spans="2:11" ht="18.75">
      <c r="C44" s="150"/>
      <c r="D44" s="143"/>
      <c r="E44" s="155"/>
      <c r="F44" s="99"/>
      <c r="G44" s="99"/>
    </row>
    <row r="45" spans="2:11" ht="18.75">
      <c r="C45" s="150"/>
      <c r="D45" s="143"/>
      <c r="E45" s="155"/>
      <c r="F45" s="99"/>
      <c r="G45" s="99"/>
    </row>
    <row r="46" spans="2:11" ht="14.25">
      <c r="E46" s="155">
        <f t="shared" si="3"/>
        <v>0</v>
      </c>
      <c r="F46" s="99"/>
    </row>
    <row r="47" spans="2:11" ht="18.75">
      <c r="B47" s="145" t="s">
        <v>131</v>
      </c>
      <c r="E47" s="156">
        <f>SUM(E33:E46)</f>
        <v>84264990.537983239</v>
      </c>
      <c r="F47" s="99"/>
      <c r="G47" s="99">
        <f>SUM(G33:G46)</f>
        <v>1</v>
      </c>
    </row>
    <row r="48" spans="2:11">
      <c r="G48" s="99"/>
    </row>
    <row r="50" spans="2:9" ht="26.25">
      <c r="B50" s="152" t="s">
        <v>132</v>
      </c>
      <c r="C50" s="153"/>
      <c r="D50" s="157">
        <f>'[1]COSTOS CONSTRUCCION'!$D$49</f>
        <v>1175754150.5379832</v>
      </c>
      <c r="I50" t="s">
        <v>21</v>
      </c>
    </row>
    <row r="52" spans="2:9" ht="14.25">
      <c r="B52" s="14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F11"/>
  <sheetViews>
    <sheetView workbookViewId="0">
      <selection activeCell="A5" sqref="A5:XFD7"/>
    </sheetView>
  </sheetViews>
  <sheetFormatPr baseColWidth="10" defaultRowHeight="15"/>
  <cols>
    <col min="1" max="1" width="11.42578125" style="33"/>
    <col min="3" max="3" width="13.28515625" customWidth="1"/>
    <col min="4" max="4" width="18.42578125" style="137" customWidth="1"/>
    <col min="5" max="5" width="10.140625" style="137" customWidth="1"/>
    <col min="6" max="6" width="12.7109375" bestFit="1" customWidth="1"/>
  </cols>
  <sheetData>
    <row r="3" spans="1:6" s="154" customFormat="1" ht="15.75">
      <c r="A3" s="33"/>
      <c r="C3" s="82" t="s">
        <v>76</v>
      </c>
      <c r="D3" s="82" t="s">
        <v>78</v>
      </c>
      <c r="E3" s="82" t="s">
        <v>75</v>
      </c>
      <c r="F3" s="82" t="s">
        <v>77</v>
      </c>
    </row>
    <row r="4" spans="1:6" ht="12.75" customHeight="1">
      <c r="C4" s="97"/>
      <c r="D4" s="97"/>
      <c r="E4" s="96"/>
      <c r="F4" s="97"/>
    </row>
    <row r="5" spans="1:6" ht="15.75">
      <c r="A5" s="159"/>
      <c r="C5" s="94"/>
      <c r="D5" s="134"/>
      <c r="E5" s="160"/>
      <c r="F5" s="93"/>
    </row>
    <row r="6" spans="1:6" ht="15.75">
      <c r="A6" s="159"/>
      <c r="C6" s="93"/>
      <c r="D6" s="134"/>
      <c r="E6" s="160"/>
      <c r="F6" s="93"/>
    </row>
    <row r="7" spans="1:6" ht="15.75">
      <c r="A7" s="159"/>
      <c r="C7" s="93"/>
      <c r="D7" s="135"/>
      <c r="E7" s="160"/>
      <c r="F7" s="93"/>
    </row>
    <row r="8" spans="1:6" ht="15.75">
      <c r="A8" s="159" t="s">
        <v>64</v>
      </c>
      <c r="C8" s="93">
        <f>C7*D8</f>
        <v>0</v>
      </c>
      <c r="D8" s="135">
        <f>1*1.02</f>
        <v>1.02</v>
      </c>
      <c r="E8" s="160">
        <f>22.5</f>
        <v>22.5</v>
      </c>
      <c r="F8" s="93">
        <f t="shared" ref="F6:F9" si="0">C8*E8*D8</f>
        <v>0</v>
      </c>
    </row>
    <row r="9" spans="1:6" ht="15.75">
      <c r="A9" s="159" t="s">
        <v>65</v>
      </c>
      <c r="C9" s="94">
        <f>[2]casasconterreno!$H$44</f>
        <v>21930000</v>
      </c>
      <c r="D9" s="135">
        <f>1*1.1</f>
        <v>1.1000000000000001</v>
      </c>
      <c r="E9" s="160">
        <f>22.7</f>
        <v>22.7</v>
      </c>
      <c r="F9" s="93">
        <f t="shared" si="0"/>
        <v>547592100</v>
      </c>
    </row>
    <row r="10" spans="1:6">
      <c r="C10" s="93"/>
      <c r="D10" s="136"/>
      <c r="E10" s="136"/>
      <c r="F10" s="93"/>
    </row>
    <row r="11" spans="1:6">
      <c r="C11" s="93"/>
      <c r="D11" s="136"/>
      <c r="E11" s="136"/>
      <c r="F11" s="2">
        <f>SUM(F5:F9)</f>
        <v>547592100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2"/>
  <sheetViews>
    <sheetView workbookViewId="0">
      <selection activeCell="I16" sqref="I16"/>
    </sheetView>
  </sheetViews>
  <sheetFormatPr baseColWidth="10" defaultRowHeight="12.75"/>
  <cols>
    <col min="2" max="2" width="20.42578125" customWidth="1"/>
    <col min="3" max="3" width="14.85546875" customWidth="1"/>
    <col min="5" max="5" width="14.85546875" customWidth="1"/>
    <col min="7" max="7" width="15" customWidth="1"/>
    <col min="9" max="9" width="13.7109375" customWidth="1"/>
    <col min="10" max="10" width="15.140625" customWidth="1"/>
  </cols>
  <sheetData>
    <row r="5" spans="2:10" ht="15">
      <c r="B5" s="100" t="s">
        <v>80</v>
      </c>
      <c r="C5" s="100" t="s">
        <v>81</v>
      </c>
      <c r="D5" s="100" t="s">
        <v>82</v>
      </c>
      <c r="E5" s="100" t="s">
        <v>83</v>
      </c>
      <c r="F5" s="100" t="s">
        <v>84</v>
      </c>
      <c r="G5" s="100" t="s">
        <v>85</v>
      </c>
      <c r="H5" s="100" t="s">
        <v>86</v>
      </c>
      <c r="I5" s="100" t="s">
        <v>87</v>
      </c>
      <c r="J5" s="100" t="s">
        <v>0</v>
      </c>
    </row>
    <row r="6" spans="2:10">
      <c r="B6" s="101" t="s">
        <v>88</v>
      </c>
      <c r="C6" s="102">
        <f>+[3]parametros!$B$9/4</f>
        <v>20013.75</v>
      </c>
      <c r="D6" s="101"/>
      <c r="E6" s="102">
        <f>+[3]parametros!$B$9/4</f>
        <v>20013.75</v>
      </c>
      <c r="F6" s="101"/>
      <c r="G6" s="102">
        <f>+[3]parametros!$B$9/4</f>
        <v>20013.75</v>
      </c>
      <c r="H6" s="101"/>
      <c r="I6" s="102">
        <f>+[3]parametros!$B$9/4</f>
        <v>20013.75</v>
      </c>
      <c r="J6" s="102">
        <f>+SUM(C6:I6)</f>
        <v>80055</v>
      </c>
    </row>
    <row r="7" spans="2:10">
      <c r="B7" s="101" t="s">
        <v>89</v>
      </c>
      <c r="C7" s="103">
        <v>2500</v>
      </c>
      <c r="D7" s="101"/>
      <c r="E7" s="103">
        <f>+C7*1.1</f>
        <v>2750</v>
      </c>
      <c r="F7" s="101"/>
      <c r="G7" s="103">
        <f>+E7*1.1</f>
        <v>3025.0000000000005</v>
      </c>
      <c r="H7" s="101"/>
      <c r="I7" s="103">
        <f>+G7*1.1</f>
        <v>3327.5000000000009</v>
      </c>
      <c r="J7" s="101"/>
    </row>
    <row r="8" spans="2:10" s="1" customFormat="1">
      <c r="B8" s="105" t="s">
        <v>90</v>
      </c>
      <c r="C8" s="106">
        <f>+C6*C7</f>
        <v>50034375</v>
      </c>
      <c r="D8" s="105"/>
      <c r="E8" s="106">
        <f>+E6*E7</f>
        <v>55037812.5</v>
      </c>
      <c r="F8" s="105"/>
      <c r="G8" s="106">
        <f>+G6*G7</f>
        <v>60541593.750000007</v>
      </c>
      <c r="H8" s="105"/>
      <c r="I8" s="106">
        <f>+I6*I7</f>
        <v>66595753.125000015</v>
      </c>
      <c r="J8" s="106">
        <f>+SUM(C8:I8)</f>
        <v>232209534.375</v>
      </c>
    </row>
    <row r="11" spans="2:10">
      <c r="B11" t="s">
        <v>91</v>
      </c>
    </row>
    <row r="12" spans="2:10">
      <c r="B12" s="104" t="s">
        <v>92</v>
      </c>
      <c r="C12">
        <v>135</v>
      </c>
      <c r="D1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3"/>
  <sheetViews>
    <sheetView workbookViewId="0">
      <selection activeCell="I5" sqref="I5"/>
    </sheetView>
  </sheetViews>
  <sheetFormatPr baseColWidth="10" defaultRowHeight="12.75"/>
  <cols>
    <col min="1" max="1" width="19.140625" customWidth="1"/>
    <col min="2" max="2" width="18.42578125" customWidth="1"/>
    <col min="3" max="3" width="11" customWidth="1"/>
    <col min="6" max="6" width="12.7109375" customWidth="1"/>
  </cols>
  <sheetData>
    <row r="1" spans="1:6" ht="23.25">
      <c r="A1" s="32" t="s">
        <v>40</v>
      </c>
      <c r="B1" s="20"/>
      <c r="C1" s="20"/>
      <c r="D1" s="22"/>
      <c r="E1" s="22"/>
    </row>
    <row r="4" spans="1:6" ht="14.25">
      <c r="A4" t="s">
        <v>42</v>
      </c>
      <c r="D4" s="46">
        <v>5000000</v>
      </c>
    </row>
    <row r="6" spans="1:6" ht="15.75">
      <c r="A6" s="7" t="s">
        <v>41</v>
      </c>
    </row>
    <row r="7" spans="1:6" ht="15.75">
      <c r="A7" s="33"/>
      <c r="B7" s="166" t="s">
        <v>59</v>
      </c>
      <c r="C7" s="166"/>
      <c r="D7" s="74" t="s">
        <v>13</v>
      </c>
      <c r="E7" s="74" t="s">
        <v>3</v>
      </c>
      <c r="F7" s="8"/>
    </row>
    <row r="8" spans="1:6" ht="15">
      <c r="A8" s="8" t="s">
        <v>57</v>
      </c>
      <c r="B8" s="36">
        <f>principal!E15-D4</f>
        <v>-500000</v>
      </c>
      <c r="C8" s="76">
        <f>B8/B12</f>
        <v>-0.1111111111111111</v>
      </c>
      <c r="D8" s="34">
        <f>D12*        B8/B12</f>
        <v>-11255967.319555555</v>
      </c>
      <c r="E8" s="35">
        <f>B8+D8+D4</f>
        <v>-6755967.3195555545</v>
      </c>
      <c r="F8" s="2"/>
    </row>
    <row r="9" spans="1:6" ht="15">
      <c r="A9" s="8"/>
      <c r="B9" s="36"/>
      <c r="C9" s="76"/>
      <c r="D9" s="34"/>
      <c r="E9" s="35"/>
    </row>
    <row r="10" spans="1:6" ht="15">
      <c r="A10" s="8" t="s">
        <v>58</v>
      </c>
      <c r="B10" s="36">
        <f>-factibilidad!C31+D4</f>
        <v>5000000</v>
      </c>
      <c r="C10" s="76">
        <f>B10/B12</f>
        <v>1.1111111111111112</v>
      </c>
      <c r="D10" s="34">
        <f>D12*B10/B12</f>
        <v>112559673.19555554</v>
      </c>
      <c r="E10" s="35">
        <f>B10+D10</f>
        <v>117559673.19555554</v>
      </c>
      <c r="F10" t="e">
        <f>E10/principal!#REF!</f>
        <v>#REF!</v>
      </c>
    </row>
    <row r="11" spans="1:6" ht="15">
      <c r="A11" s="8"/>
      <c r="B11" s="34"/>
      <c r="C11" s="77"/>
      <c r="D11" s="34"/>
      <c r="E11" s="35"/>
    </row>
    <row r="12" spans="1:6" ht="15">
      <c r="A12" s="8" t="s">
        <v>3</v>
      </c>
      <c r="B12" s="35">
        <f>SUM(B8:B10)</f>
        <v>4500000</v>
      </c>
      <c r="C12" s="78">
        <f>SUM(C8:C10)</f>
        <v>1</v>
      </c>
      <c r="D12" s="35">
        <f>principal!E48</f>
        <v>101303705.87599999</v>
      </c>
      <c r="E12" s="35">
        <f>B12+D12</f>
        <v>105803705.87599999</v>
      </c>
    </row>
    <row r="13" spans="1:6" ht="15">
      <c r="A13" s="8"/>
    </row>
  </sheetData>
  <mergeCells count="1">
    <mergeCell ref="B7:C7"/>
  </mergeCells>
  <phoneticPr fontId="2" type="noConversion"/>
  <pageMargins left="0.75" right="0.75" top="1" bottom="1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principal</vt:lpstr>
      <vt:lpstr>factibilidad</vt:lpstr>
      <vt:lpstr>obra </vt:lpstr>
      <vt:lpstr>ventas</vt:lpstr>
      <vt:lpstr>terreno</vt:lpstr>
      <vt:lpstr>resumen</vt:lpstr>
    </vt:vector>
  </TitlesOfParts>
  <Company>* * * * * * 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Mitzy</cp:lastModifiedBy>
  <cp:lastPrinted>2007-09-18T00:52:27Z</cp:lastPrinted>
  <dcterms:created xsi:type="dcterms:W3CDTF">2003-09-11T23:21:34Z</dcterms:created>
  <dcterms:modified xsi:type="dcterms:W3CDTF">2020-11-07T17:52:35Z</dcterms:modified>
</cp:coreProperties>
</file>